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  <Override PartName="/xl/threadedComments/threadedComment1.xml" ContentType="application/vnd.ms-excel.threadedcomment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bae\Desktop\WSG 2020 Report\Paint cost calculator\"/>
    </mc:Choice>
  </mc:AlternateContent>
  <bookViews>
    <workbookView xWindow="0" yWindow="0" windowWidth="16380" windowHeight="4872" tabRatio="907"/>
  </bookViews>
  <sheets>
    <sheet name="CALC" sheetId="40" r:id="rId1"/>
    <sheet name="Reference" sheetId="41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3" i="40" l="1"/>
  <c r="D23" i="40"/>
  <c r="E23" i="40"/>
  <c r="F23" i="40"/>
  <c r="G23" i="40"/>
  <c r="H23" i="40"/>
  <c r="I23" i="40"/>
  <c r="J23" i="40"/>
  <c r="K23" i="40"/>
  <c r="L23" i="40"/>
  <c r="M23" i="40"/>
  <c r="N23" i="40"/>
  <c r="O23" i="40"/>
  <c r="P23" i="40"/>
  <c r="Q23" i="40"/>
  <c r="R23" i="40"/>
  <c r="C22" i="40"/>
  <c r="D22" i="40"/>
  <c r="E22" i="40"/>
  <c r="F22" i="40"/>
  <c r="G22" i="40"/>
  <c r="H22" i="40"/>
  <c r="I22" i="40"/>
  <c r="J22" i="40"/>
  <c r="K22" i="40"/>
  <c r="L22" i="40"/>
  <c r="M22" i="40"/>
  <c r="N22" i="40"/>
  <c r="O22" i="40"/>
  <c r="P22" i="40"/>
  <c r="Q22" i="40"/>
  <c r="R22" i="40"/>
  <c r="B23" i="40"/>
  <c r="B8" i="40"/>
  <c r="B22" i="40"/>
  <c r="B7" i="40"/>
  <c r="C20" i="40"/>
  <c r="D20" i="40"/>
  <c r="E20" i="40"/>
  <c r="F20" i="40"/>
  <c r="G20" i="40"/>
  <c r="H20" i="40"/>
  <c r="I20" i="40"/>
  <c r="J20" i="40"/>
  <c r="K20" i="40"/>
  <c r="L20" i="40"/>
  <c r="M20" i="40"/>
  <c r="N20" i="40"/>
  <c r="O20" i="40"/>
  <c r="P20" i="40"/>
  <c r="Q20" i="40"/>
  <c r="R20" i="40"/>
  <c r="B20" i="40"/>
  <c r="B5" i="40"/>
  <c r="C19" i="40"/>
  <c r="D19" i="40"/>
  <c r="E19" i="40"/>
  <c r="F19" i="40"/>
  <c r="G19" i="40"/>
  <c r="H19" i="40"/>
  <c r="I19" i="40"/>
  <c r="J19" i="40"/>
  <c r="K19" i="40"/>
  <c r="L19" i="40"/>
  <c r="M19" i="40"/>
  <c r="N19" i="40"/>
  <c r="O19" i="40"/>
  <c r="P19" i="40"/>
  <c r="Q19" i="40"/>
  <c r="R19" i="40"/>
  <c r="B19" i="40"/>
  <c r="B4" i="40"/>
  <c r="C18" i="40"/>
  <c r="D18" i="40"/>
  <c r="E18" i="40"/>
  <c r="F18" i="40"/>
  <c r="G18" i="40"/>
  <c r="H18" i="40"/>
  <c r="I18" i="40"/>
  <c r="J18" i="40"/>
  <c r="K18" i="40"/>
  <c r="L18" i="40"/>
  <c r="M18" i="40"/>
  <c r="N18" i="40"/>
  <c r="O18" i="40"/>
  <c r="P18" i="40"/>
  <c r="Q18" i="40"/>
  <c r="R18" i="40"/>
  <c r="B18" i="40"/>
  <c r="B3" i="40"/>
  <c r="C27" i="40" l="1"/>
  <c r="D27" i="40"/>
  <c r="E27" i="40"/>
  <c r="F27" i="40"/>
  <c r="G27" i="40"/>
  <c r="H27" i="40"/>
  <c r="I27" i="40"/>
  <c r="J27" i="40"/>
  <c r="K27" i="40"/>
  <c r="L27" i="40"/>
  <c r="M27" i="40"/>
  <c r="N27" i="40"/>
  <c r="O27" i="40"/>
  <c r="P27" i="40"/>
  <c r="Q27" i="40"/>
  <c r="R27" i="40"/>
  <c r="B27" i="40"/>
  <c r="AS30" i="41" l="1"/>
  <c r="AK30" i="41"/>
  <c r="AW19" i="41"/>
  <c r="AV19" i="41"/>
  <c r="AU19" i="41"/>
  <c r="AT19" i="41"/>
  <c r="AS19" i="41"/>
  <c r="AR19" i="41"/>
  <c r="AQ19" i="41"/>
  <c r="AP19" i="41"/>
  <c r="AO19" i="41"/>
  <c r="AN19" i="41"/>
  <c r="AM19" i="41"/>
  <c r="AL19" i="41"/>
  <c r="AK19" i="41"/>
  <c r="AJ19" i="41"/>
  <c r="AI19" i="41"/>
  <c r="AH19" i="41"/>
  <c r="AG19" i="41"/>
  <c r="AF19" i="41"/>
  <c r="AE19" i="41"/>
  <c r="AD19" i="41"/>
  <c r="AC19" i="41"/>
  <c r="AB19" i="41"/>
  <c r="AA19" i="41"/>
  <c r="Z19" i="41"/>
  <c r="Y19" i="41"/>
  <c r="X19" i="41"/>
  <c r="W19" i="41"/>
  <c r="V19" i="41"/>
  <c r="U19" i="41"/>
  <c r="T19" i="41"/>
  <c r="S19" i="41"/>
  <c r="R19" i="41"/>
  <c r="Q19" i="41"/>
  <c r="P19" i="41"/>
  <c r="O19" i="41"/>
  <c r="N19" i="41"/>
  <c r="M19" i="41"/>
  <c r="L19" i="41"/>
  <c r="K19" i="41"/>
  <c r="J19" i="41"/>
  <c r="I19" i="41"/>
  <c r="H19" i="41"/>
  <c r="G19" i="41"/>
  <c r="F19" i="41"/>
  <c r="E19" i="41"/>
  <c r="D19" i="41"/>
  <c r="C19" i="41"/>
  <c r="B19" i="41"/>
  <c r="P7" i="41"/>
  <c r="O7" i="41"/>
  <c r="N7" i="41"/>
  <c r="D7" i="41"/>
  <c r="C7" i="41"/>
  <c r="B7" i="41"/>
  <c r="P6" i="41"/>
  <c r="O6" i="41"/>
  <c r="N6" i="41"/>
  <c r="M6" i="41"/>
  <c r="L6" i="41"/>
  <c r="K6" i="41"/>
  <c r="J6" i="41"/>
  <c r="I6" i="41"/>
  <c r="H6" i="41"/>
  <c r="G6" i="41"/>
  <c r="D6" i="41"/>
  <c r="C6" i="41"/>
  <c r="B6" i="41"/>
  <c r="P5" i="41"/>
  <c r="O5" i="41"/>
  <c r="N5" i="41"/>
  <c r="M5" i="41"/>
  <c r="L5" i="41"/>
  <c r="D5" i="41"/>
  <c r="C5" i="41"/>
  <c r="B5" i="41"/>
  <c r="R4" i="41"/>
  <c r="R6" i="41" s="1"/>
  <c r="Q4" i="41"/>
  <c r="Q6" i="41" s="1"/>
  <c r="P4" i="41"/>
  <c r="O4" i="41"/>
  <c r="N4" i="41"/>
  <c r="M4" i="41"/>
  <c r="M7" i="41" s="1"/>
  <c r="L4" i="41"/>
  <c r="L7" i="41" s="1"/>
  <c r="K4" i="41"/>
  <c r="K5" i="41" s="1"/>
  <c r="J4" i="41"/>
  <c r="J5" i="41" s="1"/>
  <c r="I4" i="41"/>
  <c r="I5" i="41" s="1"/>
  <c r="H4" i="41"/>
  <c r="H5" i="41" s="1"/>
  <c r="G4" i="41"/>
  <c r="G7" i="41" s="1"/>
  <c r="F4" i="41"/>
  <c r="F6" i="41" s="1"/>
  <c r="E4" i="41"/>
  <c r="E6" i="41" s="1"/>
  <c r="D4" i="41"/>
  <c r="C4" i="41"/>
  <c r="B12" i="40" l="1"/>
  <c r="Q5" i="41"/>
  <c r="E7" i="41"/>
  <c r="R7" i="41"/>
  <c r="F5" i="41"/>
  <c r="H7" i="41"/>
  <c r="J7" i="41"/>
  <c r="G5" i="41"/>
  <c r="I7" i="41"/>
  <c r="K7" i="41"/>
  <c r="Q7" i="41"/>
  <c r="F7" i="41"/>
  <c r="E5" i="41"/>
  <c r="R5" i="41"/>
  <c r="B9" i="40" l="1"/>
  <c r="S17" i="40"/>
  <c r="B10" i="40" l="1"/>
  <c r="F24" i="40"/>
  <c r="B11" i="40"/>
  <c r="D24" i="40"/>
  <c r="G24" i="40"/>
  <c r="G26" i="40" s="1"/>
  <c r="Q24" i="40"/>
  <c r="E24" i="40"/>
  <c r="E26" i="40" s="1"/>
  <c r="J24" i="40"/>
  <c r="J25" i="40" s="1"/>
  <c r="I24" i="40"/>
  <c r="I25" i="40" s="1"/>
  <c r="H24" i="40"/>
  <c r="H25" i="40" s="1"/>
  <c r="R24" i="40"/>
  <c r="P24" i="40"/>
  <c r="P26" i="40" s="1"/>
  <c r="O24" i="40"/>
  <c r="O26" i="40" s="1"/>
  <c r="C24" i="40"/>
  <c r="C26" i="40" s="1"/>
  <c r="S18" i="40"/>
  <c r="N24" i="40"/>
  <c r="M24" i="40"/>
  <c r="L24" i="40"/>
  <c r="K24" i="40"/>
  <c r="B24" i="40"/>
  <c r="E25" i="40" l="1"/>
  <c r="S20" i="40"/>
  <c r="S19" i="40"/>
  <c r="F25" i="40"/>
  <c r="F26" i="40"/>
  <c r="G25" i="40"/>
  <c r="D25" i="40"/>
  <c r="R26" i="40"/>
  <c r="Q26" i="40"/>
  <c r="I26" i="40"/>
  <c r="D26" i="40"/>
  <c r="Q25" i="40"/>
  <c r="P25" i="40"/>
  <c r="C25" i="40"/>
  <c r="R25" i="40"/>
  <c r="H26" i="40"/>
  <c r="J26" i="40"/>
  <c r="O25" i="40"/>
  <c r="S24" i="40"/>
  <c r="S27" i="40"/>
  <c r="M25" i="40"/>
  <c r="M26" i="40"/>
  <c r="N25" i="40"/>
  <c r="N26" i="40"/>
  <c r="K25" i="40"/>
  <c r="K26" i="40"/>
  <c r="L25" i="40"/>
  <c r="L26" i="40"/>
  <c r="B25" i="40"/>
  <c r="B26" i="40"/>
  <c r="S25" i="40" l="1"/>
  <c r="S26" i="40"/>
</calcChain>
</file>

<file path=xl/sharedStrings.xml><?xml version="1.0" encoding="utf-8"?>
<sst xmlns="http://schemas.openxmlformats.org/spreadsheetml/2006/main" count="450" uniqueCount="185">
  <si>
    <t>≤10'</t>
  </si>
  <si>
    <t>11'-14'</t>
  </si>
  <si>
    <t>15'-18'</t>
  </si>
  <si>
    <t>19'-22'</t>
  </si>
  <si>
    <t>23'-26'</t>
  </si>
  <si>
    <t>27'-30'</t>
  </si>
  <si>
    <t>31'-34'</t>
  </si>
  <si>
    <t>35'-38'</t>
  </si>
  <si>
    <t>39'-42'</t>
  </si>
  <si>
    <t>43'-46'</t>
  </si>
  <si>
    <t>47'-50'</t>
  </si>
  <si>
    <t>51'-54'</t>
  </si>
  <si>
    <t>55'-58'</t>
  </si>
  <si>
    <t>59'-62'</t>
  </si>
  <si>
    <t>63'-66'</t>
  </si>
  <si>
    <t>67'-70'</t>
  </si>
  <si>
    <t>&gt;70'</t>
  </si>
  <si>
    <t>Unk</t>
  </si>
  <si>
    <t>Total</t>
  </si>
  <si>
    <t>Brand</t>
  </si>
  <si>
    <t>Primary Biocide</t>
  </si>
  <si>
    <t>Biocide %</t>
  </si>
  <si>
    <t>Maximum Time to Launch (days)</t>
  </si>
  <si>
    <t>Modified Epoxy Antifouling Paint</t>
  </si>
  <si>
    <t>Sharkskin antifouling paint</t>
  </si>
  <si>
    <t>Sea Hawk</t>
  </si>
  <si>
    <t>Modified epoxy</t>
  </si>
  <si>
    <t>Cuprous oxide</t>
  </si>
  <si>
    <t>Tropikote (premium)</t>
  </si>
  <si>
    <t xml:space="preserve">Modified epoxy *75.8% (highest) copper content </t>
  </si>
  <si>
    <t>30 days</t>
  </si>
  <si>
    <t>Fiberglass Bottombote NT</t>
  </si>
  <si>
    <t>Interlux</t>
  </si>
  <si>
    <t>Hard ablative, dual-resin hybrid</t>
  </si>
  <si>
    <t>None</t>
  </si>
  <si>
    <t>2 to 3</t>
  </si>
  <si>
    <t>BottomShield with CCT</t>
  </si>
  <si>
    <t>West Marine</t>
  </si>
  <si>
    <t>129.99 (red) 109.99 (green)</t>
  </si>
  <si>
    <t xml:space="preserve">2 to 6 </t>
  </si>
  <si>
    <t>Unepoxy Standard</t>
  </si>
  <si>
    <t>Pettit</t>
  </si>
  <si>
    <t>134.99 (blue) 129.99 (green)</t>
  </si>
  <si>
    <t>Unepoxy Plus</t>
  </si>
  <si>
    <t>Fiberglass Bottomkote Aqua</t>
  </si>
  <si>
    <t>Water-based modified epoxy</t>
  </si>
  <si>
    <t>Copper Bronze Antifouling</t>
  </si>
  <si>
    <t>8 to 16</t>
  </si>
  <si>
    <t>Ultra with Biolux</t>
  </si>
  <si>
    <t>N/A</t>
  </si>
  <si>
    <t>Biolux</t>
  </si>
  <si>
    <t>3 to 6</t>
  </si>
  <si>
    <t>Black Widow (fastest racing paint)</t>
  </si>
  <si>
    <t>Cuprous Thiocynate; Zinc pyrithione</t>
  </si>
  <si>
    <t>dual-biocide; multi-season hybrid; hard modified epoxy</t>
  </si>
  <si>
    <t>3-12 hours</t>
  </si>
  <si>
    <t>8-24 hours</t>
  </si>
  <si>
    <t>The Protector</t>
  </si>
  <si>
    <t>Z-Spar</t>
  </si>
  <si>
    <t>BottomPro</t>
  </si>
  <si>
    <t>Trinidad SR</t>
  </si>
  <si>
    <t>Irgarol</t>
  </si>
  <si>
    <t>Trinidad 75</t>
  </si>
  <si>
    <t>329.99 (blue, special blacks) 309.99 (black)</t>
  </si>
  <si>
    <t>Trinidad Pro</t>
  </si>
  <si>
    <t>Fiberglass Bottomkote Racing Bronze</t>
  </si>
  <si>
    <t>Dual-resin, hybrid hard/ablative</t>
  </si>
  <si>
    <t>2 (3 on bare wood)</t>
  </si>
  <si>
    <t>Neptune5 Hard Hybrid Thin Film</t>
  </si>
  <si>
    <t>hard Water-Based Hybrid</t>
  </si>
  <si>
    <t>Trinidad VOC</t>
  </si>
  <si>
    <t>Single-Season Ablative Antifouling Paint</t>
  </si>
  <si>
    <t>Biocop TF Antifouling Paint</t>
  </si>
  <si>
    <t>Dual-biocide ablative</t>
  </si>
  <si>
    <t>Cuprous oxide; zinc</t>
  </si>
  <si>
    <t>38; 4.14</t>
  </si>
  <si>
    <t xml:space="preserve">1 to 2 </t>
  </si>
  <si>
    <t>Ultima SSA</t>
  </si>
  <si>
    <t>Ablative</t>
  </si>
  <si>
    <t>Indefiite</t>
  </si>
  <si>
    <t>CPP</t>
  </si>
  <si>
    <t xml:space="preserve">3 to 12 </t>
  </si>
  <si>
    <t>ACT</t>
  </si>
  <si>
    <t>Multi-Season Ablative Antifouling Paint</t>
  </si>
  <si>
    <t>Name</t>
  </si>
  <si>
    <t>Price per Gallon</t>
  </si>
  <si>
    <t>Type (Specific)</t>
  </si>
  <si>
    <t>Anti-Slime</t>
  </si>
  <si>
    <t># of Coats</t>
  </si>
  <si>
    <t>Coverage (sq. ft)</t>
  </si>
  <si>
    <t>Drying Time (hrs)</t>
  </si>
  <si>
    <t>Paint Type</t>
  </si>
  <si>
    <t>PAINT DETAILS</t>
  </si>
  <si>
    <t>Paint Volume Calcuations</t>
  </si>
  <si>
    <t>Length Class (ft) - Actual</t>
  </si>
  <si>
    <t>Copper Free Ablative Antifouling Paint</t>
  </si>
  <si>
    <t>Thin-Film and Vinyl Antifouling Paint</t>
  </si>
  <si>
    <t>Micron CSC</t>
  </si>
  <si>
    <t>Trilux 33</t>
  </si>
  <si>
    <t>Micron Extra with Biolux</t>
  </si>
  <si>
    <t>Micron 66</t>
  </si>
  <si>
    <t>Micron CSC HS</t>
  </si>
  <si>
    <t>Aqua-One Performance Ablative</t>
  </si>
  <si>
    <t>PCA Gold</t>
  </si>
  <si>
    <t>Hydrocoat</t>
  </si>
  <si>
    <t>Horizons</t>
  </si>
  <si>
    <t>Hydrocoat SR</t>
  </si>
  <si>
    <t>Vivid Bright Colored Hybrid</t>
  </si>
  <si>
    <t>Ultima SR40</t>
  </si>
  <si>
    <t>Ultima SR60</t>
  </si>
  <si>
    <t>Pacifica Plus</t>
  </si>
  <si>
    <t>Micron CF</t>
  </si>
  <si>
    <t>CFA Eco Copper Free</t>
  </si>
  <si>
    <t>Ultima ECO</t>
  </si>
  <si>
    <t>Hydrocoat ECO</t>
  </si>
  <si>
    <t>Pontoon Pro</t>
  </si>
  <si>
    <t>Old Salem Hard Racing Copper Bronze</t>
  </si>
  <si>
    <t>VC 17m Extral with  Biolux</t>
  </si>
  <si>
    <t>VC Offshore Hard-Vinyl</t>
  </si>
  <si>
    <t>VC Offshore Regata Baltoplate (for serious racing)</t>
  </si>
  <si>
    <t>FW-21 Slick Coat Racing Paint</t>
  </si>
  <si>
    <t>Copolymer ablative</t>
  </si>
  <si>
    <t>Ablative for aluminum</t>
  </si>
  <si>
    <t>Water-based ablative, envionmentally friendly</t>
  </si>
  <si>
    <t>Water-Based ablative</t>
  </si>
  <si>
    <t>Dual-biocide, wate-based ablative</t>
  </si>
  <si>
    <t>Hard ablative hybrid</t>
  </si>
  <si>
    <t>Multi-seasonal, dual-biocide coploymer ablative</t>
  </si>
  <si>
    <t>Dual-biocide, water-based ablative</t>
  </si>
  <si>
    <t>Water-based copolymer ablative</t>
  </si>
  <si>
    <t>Multi-seasonal, copper free ablative</t>
  </si>
  <si>
    <t>Smooth racing finish</t>
  </si>
  <si>
    <t>Thin film</t>
  </si>
  <si>
    <t>Hard vinyl</t>
  </si>
  <si>
    <t>Thin-film Solid Lubricant</t>
  </si>
  <si>
    <t>Cuprous thiocyanate</t>
  </si>
  <si>
    <t>ECONEA</t>
  </si>
  <si>
    <t>Not copper free</t>
  </si>
  <si>
    <t>PTFE</t>
  </si>
  <si>
    <t>Zinc pyrithione</t>
  </si>
  <si>
    <t>Zinc ornadine</t>
  </si>
  <si>
    <t>4.8% Zinc pyrithione</t>
  </si>
  <si>
    <t>irgarol</t>
  </si>
  <si>
    <t>3 to 4</t>
  </si>
  <si>
    <t>2-6 hours</t>
  </si>
  <si>
    <t>10 min</t>
  </si>
  <si>
    <t>6 hours</t>
  </si>
  <si>
    <t>1-3 months</t>
  </si>
  <si>
    <t>12 months</t>
  </si>
  <si>
    <t>Indefinite</t>
  </si>
  <si>
    <t>$99/Quart</t>
  </si>
  <si>
    <t>$69/quart</t>
  </si>
  <si>
    <t>$64.99/Quart</t>
  </si>
  <si>
    <t>1 to 5 hours, 6-8 hours</t>
  </si>
  <si>
    <t>1-3 hours, 8-16 hours</t>
  </si>
  <si>
    <t>2 coats (gallon)</t>
  </si>
  <si>
    <t>3 coats (gallon)</t>
  </si>
  <si>
    <t>1 coat (gallon)</t>
  </si>
  <si>
    <t>Average AFP</t>
  </si>
  <si>
    <t>AVG Copper Free Paint</t>
  </si>
  <si>
    <t>Labor Cost, Overcoating 2 coats</t>
  </si>
  <si>
    <t>Labor Cost, Removal + 2 coats</t>
  </si>
  <si>
    <t>Vessel Class (ft)</t>
  </si>
  <si>
    <t>Paint Volume (gallon)</t>
  </si>
  <si>
    <t>Brand + Name</t>
  </si>
  <si>
    <t>Paint Brand and Name</t>
  </si>
  <si>
    <t>Price per gallon</t>
  </si>
  <si>
    <t>Pettit Unepoxy Plus</t>
  </si>
  <si>
    <t>Paint Cost</t>
  </si>
  <si>
    <t>Biocide content (pound)</t>
  </si>
  <si>
    <t>Paint Cost + Labor Cost Overcoating 2 Coats</t>
  </si>
  <si>
    <t>Paint Cost + Labor Cost Removal + 2 Coats</t>
  </si>
  <si>
    <t>LABOR, TIME, MATERIAL COST CALCULATIONS 
(excluding paint)</t>
  </si>
  <si>
    <t>Avg Length - for calculations</t>
  </si>
  <si>
    <t>Overcoating - 1 coat</t>
  </si>
  <si>
    <t>Overcoating - 2 coats</t>
  </si>
  <si>
    <t>Removal + 2 new coats</t>
  </si>
  <si>
    <t>Calculator for Marina/County</t>
  </si>
  <si>
    <t>Reference (from WA Labor Cost)</t>
  </si>
  <si>
    <t>SELECT OR FILL-IN FOR YELLOW HIGHLIGHTED CELLS</t>
  </si>
  <si>
    <t>Calculator for Vessel Owner</t>
  </si>
  <si>
    <t>Sea Hawk Sharkskin antifouling paint</t>
  </si>
  <si>
    <t>Pettit Ultima SSA</t>
  </si>
  <si>
    <t>Interlux Fiberglass Bottomkote Aqua</t>
  </si>
  <si>
    <t>Number of Vessels for this class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</si>
</sst>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Lato Regular"/>
    </font>
    <font>
      <sz val="10"/>
      <color theme="1"/>
      <name val="Lato Regular"/>
    </font>
    <font>
      <b/>
      <sz val="10"/>
      <name val="Lato Regular"/>
    </font>
    <font>
      <sz val="10"/>
      <name val="Lato Regular"/>
    </font>
    <font>
      <sz val="10"/>
      <color rgb="FFC00000"/>
      <name val="Lato Regula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CF2FF"/>
        <bgColor indexed="64"/>
      </patternFill>
    </fill>
    <fill>
      <patternFill patternType="solid">
        <fgColor rgb="FF7FDD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-0.249977111117893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8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1" fillId="0" borderId="0" applyFont="0" applyFill="0" applyBorder="0" applyAlignment="0" applyProtection="0"/>
  </cellStyleXfs>
  <cellXfs count="6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right"/>
    </xf>
    <xf numFmtId="44" fontId="0" fillId="7" borderId="0" xfId="0" applyNumberFormat="1" applyFill="1"/>
    <xf numFmtId="2" fontId="0" fillId="7" borderId="0" xfId="0" applyNumberFormat="1" applyFill="1"/>
    <xf numFmtId="0" fontId="0" fillId="7" borderId="0" xfId="0" applyFill="1"/>
    <xf numFmtId="0" fontId="4" fillId="8" borderId="0" xfId="0" applyFont="1" applyFill="1"/>
    <xf numFmtId="0" fontId="5" fillId="8" borderId="0" xfId="0" applyFont="1" applyFill="1"/>
    <xf numFmtId="0" fontId="0" fillId="9" borderId="0" xfId="0" applyFill="1"/>
    <xf numFmtId="164" fontId="0" fillId="9" borderId="0" xfId="57" applyNumberFormat="1" applyFont="1" applyFill="1"/>
    <xf numFmtId="44" fontId="0" fillId="9" borderId="0" xfId="57" applyFont="1" applyFill="1"/>
    <xf numFmtId="44" fontId="0" fillId="9" borderId="0" xfId="0" applyNumberFormat="1" applyFill="1"/>
    <xf numFmtId="0" fontId="0" fillId="10" borderId="0" xfId="0" applyFill="1"/>
    <xf numFmtId="0" fontId="5" fillId="11" borderId="0" xfId="0" applyFont="1" applyFill="1"/>
    <xf numFmtId="44" fontId="5" fillId="11" borderId="0" xfId="57" applyFont="1" applyFill="1"/>
    <xf numFmtId="0" fontId="6" fillId="0" borderId="0" xfId="0" applyFont="1"/>
    <xf numFmtId="0" fontId="7" fillId="0" borderId="4" xfId="0" applyFont="1" applyBorder="1"/>
    <xf numFmtId="0" fontId="8" fillId="0" borderId="5" xfId="0" applyFont="1" applyBorder="1"/>
    <xf numFmtId="0" fontId="8" fillId="0" borderId="6" xfId="0" applyFont="1" applyBorder="1"/>
    <xf numFmtId="0" fontId="8" fillId="0" borderId="7" xfId="0" applyFont="1" applyBorder="1"/>
    <xf numFmtId="0" fontId="8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2" fontId="8" fillId="0" borderId="0" xfId="0" applyNumberFormat="1" applyFont="1" applyBorder="1"/>
    <xf numFmtId="2" fontId="8" fillId="0" borderId="8" xfId="0" applyNumberFormat="1" applyFont="1" applyBorder="1"/>
    <xf numFmtId="0" fontId="8" fillId="0" borderId="9" xfId="0" applyFont="1" applyBorder="1"/>
    <xf numFmtId="2" fontId="8" fillId="0" borderId="1" xfId="0" applyNumberFormat="1" applyFont="1" applyBorder="1"/>
    <xf numFmtId="2" fontId="8" fillId="0" borderId="10" xfId="0" applyNumberFormat="1" applyFont="1" applyBorder="1"/>
    <xf numFmtId="0" fontId="7" fillId="3" borderId="0" xfId="0" applyFont="1" applyFill="1" applyBorder="1" applyAlignment="1">
      <alignment vertical="top"/>
    </xf>
    <xf numFmtId="0" fontId="8" fillId="3" borderId="2" xfId="0" applyFont="1" applyFill="1" applyBorder="1" applyAlignment="1">
      <alignment vertical="top"/>
    </xf>
    <xf numFmtId="0" fontId="8" fillId="3" borderId="0" xfId="0" applyFont="1" applyFill="1" applyBorder="1" applyAlignment="1">
      <alignment vertical="top"/>
    </xf>
    <xf numFmtId="0" fontId="8" fillId="3" borderId="3" xfId="0" applyFont="1" applyFill="1" applyBorder="1" applyAlignment="1">
      <alignment vertical="top"/>
    </xf>
    <xf numFmtId="0" fontId="8" fillId="3" borderId="0" xfId="0" applyFont="1" applyFill="1" applyBorder="1" applyAlignment="1">
      <alignment horizontal="left" vertical="top"/>
    </xf>
    <xf numFmtId="0" fontId="8" fillId="3" borderId="3" xfId="0" applyFont="1" applyFill="1" applyBorder="1" applyAlignment="1">
      <alignment horizontal="left" vertical="top"/>
    </xf>
    <xf numFmtId="0" fontId="7" fillId="0" borderId="0" xfId="0" applyFont="1" applyBorder="1" applyAlignment="1">
      <alignment horizontal="left" vertical="top"/>
    </xf>
    <xf numFmtId="0" fontId="9" fillId="4" borderId="2" xfId="0" applyFont="1" applyFill="1" applyBorder="1" applyAlignment="1">
      <alignment horizontal="left" vertical="top"/>
    </xf>
    <xf numFmtId="0" fontId="9" fillId="4" borderId="0" xfId="0" applyFont="1" applyFill="1" applyBorder="1" applyAlignment="1">
      <alignment horizontal="left" vertical="top"/>
    </xf>
    <xf numFmtId="0" fontId="9" fillId="4" borderId="3" xfId="0" applyFont="1" applyFill="1" applyBorder="1" applyAlignment="1">
      <alignment horizontal="left" vertical="top"/>
    </xf>
    <xf numFmtId="0" fontId="9" fillId="5" borderId="0" xfId="0" applyFont="1" applyFill="1" applyBorder="1" applyAlignment="1">
      <alignment horizontal="left" vertical="top"/>
    </xf>
    <xf numFmtId="0" fontId="9" fillId="5" borderId="3" xfId="0" applyFont="1" applyFill="1" applyBorder="1" applyAlignment="1">
      <alignment horizontal="left" vertical="top"/>
    </xf>
    <xf numFmtId="0" fontId="7" fillId="4" borderId="0" xfId="0" applyFont="1" applyFill="1" applyBorder="1" applyAlignment="1">
      <alignment horizontal="left" vertical="top"/>
    </xf>
    <xf numFmtId="0" fontId="7" fillId="4" borderId="3" xfId="0" applyFont="1" applyFill="1" applyBorder="1" applyAlignment="1">
      <alignment horizontal="left" vertical="top"/>
    </xf>
    <xf numFmtId="0" fontId="7" fillId="5" borderId="0" xfId="0" applyFont="1" applyFill="1" applyBorder="1" applyAlignment="1">
      <alignment horizontal="left" vertical="top"/>
    </xf>
    <xf numFmtId="0" fontId="7" fillId="5" borderId="3" xfId="0" applyFont="1" applyFill="1" applyBorder="1" applyAlignment="1">
      <alignment horizontal="left" vertical="top"/>
    </xf>
    <xf numFmtId="0" fontId="8" fillId="0" borderId="0" xfId="0" applyFont="1" applyBorder="1" applyAlignment="1">
      <alignment horizontal="left" vertical="top" wrapText="1"/>
    </xf>
    <xf numFmtId="0" fontId="10" fillId="0" borderId="2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top" wrapText="1"/>
    </xf>
    <xf numFmtId="0" fontId="8" fillId="0" borderId="3" xfId="0" applyFont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10" fontId="8" fillId="0" borderId="0" xfId="0" applyNumberFormat="1" applyFont="1" applyBorder="1" applyAlignment="1">
      <alignment horizontal="left" vertical="top" wrapText="1"/>
    </xf>
    <xf numFmtId="0" fontId="10" fillId="0" borderId="0" xfId="0" applyFont="1" applyFill="1" applyBorder="1" applyAlignment="1">
      <alignment horizontal="left" vertical="top" wrapText="1"/>
    </xf>
    <xf numFmtId="0" fontId="11" fillId="0" borderId="0" xfId="0" applyFont="1" applyFill="1" applyBorder="1" applyAlignment="1">
      <alignment horizontal="left" vertical="top" wrapText="1"/>
    </xf>
    <xf numFmtId="0" fontId="11" fillId="0" borderId="2" xfId="0" applyFont="1" applyFill="1" applyBorder="1" applyAlignment="1">
      <alignment horizontal="left" vertical="top" wrapText="1"/>
    </xf>
    <xf numFmtId="0" fontId="11" fillId="0" borderId="3" xfId="0" applyFont="1" applyFill="1" applyBorder="1" applyAlignment="1">
      <alignment horizontal="left" vertical="top" wrapText="1"/>
    </xf>
    <xf numFmtId="44" fontId="10" fillId="0" borderId="2" xfId="57" applyNumberFormat="1" applyFont="1" applyBorder="1" applyAlignment="1">
      <alignment horizontal="left" vertical="top" wrapText="1"/>
    </xf>
    <xf numFmtId="44" fontId="10" fillId="0" borderId="0" xfId="57" applyNumberFormat="1" applyFont="1" applyBorder="1" applyAlignment="1">
      <alignment horizontal="left" vertical="top" wrapText="1"/>
    </xf>
    <xf numFmtId="44" fontId="10" fillId="0" borderId="3" xfId="57" applyNumberFormat="1" applyFont="1" applyBorder="1" applyAlignment="1">
      <alignment horizontal="left" vertical="top" wrapText="1"/>
    </xf>
    <xf numFmtId="0" fontId="11" fillId="0" borderId="0" xfId="57" applyNumberFormat="1" applyFont="1" applyBorder="1" applyAlignment="1">
      <alignment vertical="top" wrapText="1"/>
    </xf>
    <xf numFmtId="44" fontId="11" fillId="0" borderId="2" xfId="57" applyFont="1" applyBorder="1" applyAlignment="1">
      <alignment horizontal="left" vertical="top" wrapText="1"/>
    </xf>
    <xf numFmtId="44" fontId="11" fillId="0" borderId="0" xfId="57" applyFont="1" applyBorder="1" applyAlignment="1">
      <alignment horizontal="left" vertical="top" wrapText="1"/>
    </xf>
    <xf numFmtId="44" fontId="11" fillId="0" borderId="3" xfId="57" applyFont="1" applyBorder="1" applyAlignment="1">
      <alignment horizontal="left" vertical="top" wrapText="1"/>
    </xf>
    <xf numFmtId="44" fontId="11" fillId="0" borderId="0" xfId="57" applyFont="1" applyFill="1" applyBorder="1" applyAlignment="1">
      <alignment horizontal="left" vertical="top" wrapText="1"/>
    </xf>
    <xf numFmtId="44" fontId="11" fillId="6" borderId="0" xfId="57" applyFont="1" applyFill="1" applyBorder="1" applyAlignment="1">
      <alignment horizontal="left" vertical="top" wrapText="1"/>
    </xf>
  </cellXfs>
  <cellStyles count="58">
    <cellStyle name="Currency" xfId="57" builtinId="4"/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Normal" xfId="0" builtinId="0"/>
  </cellStyles>
  <dxfs count="15"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57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colors>
    <mruColors>
      <color rgb="FFFF99CC"/>
      <color rgb="FFEE779F"/>
      <color rgb="FF7FDDFF"/>
      <color rgb="FFFFDA66"/>
      <color rgb="FF009CD5"/>
      <color rgb="FFFFD03F"/>
      <color rgb="FFCCF2FF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Molly Riddle" id="{6A4BB8BC-1B65-7A44-A7CE-1A499EDDFC71}" userId="966efe61507c055f" providerId="Windows Live"/>
</personList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A29" dT="2019-05-21T18:51:34.57" personId="{6A4BB8BC-1B65-7A44-A7CE-1A499EDDFC71}" id="{38160B67-DE97-434B-AD2F-59D65437F724}">
    <text>Cost calculations apply the higher cost.</text>
  </threadedComment>
  <threadedComment ref="A30" dT="2019-05-21T18:51:34.57" personId="{6A4BB8BC-1B65-7A44-A7CE-1A499EDDFC71}" id="{9D38570A-C4DE-834F-AD6B-960C58F106D0}">
    <text>Cost calculations apply the higher cost.</text>
  </threadedComment>
</ThreadedComments>
</file>

<file path=xl/worksheets/_rels/sheet2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7"/>
  <sheetViews>
    <sheetView tabSelected="1" workbookViewId="0">
      <selection activeCell="B17" sqref="B17"/>
    </sheetView>
  </sheetViews>
  <sheetFormatPr defaultColWidth="11.19921875" defaultRowHeight="15.6"/>
  <cols>
    <col min="1" max="1" width="37.5" bestFit="1" customWidth="1"/>
    <col min="2" max="2" width="12.19921875" customWidth="1"/>
    <col min="17" max="18" width="17.19921875" bestFit="1" customWidth="1"/>
    <col min="19" max="19" width="12.5" bestFit="1" customWidth="1"/>
  </cols>
  <sheetData>
    <row r="1" spans="1:19">
      <c r="A1" s="6" t="s">
        <v>180</v>
      </c>
      <c r="B1" s="7"/>
    </row>
    <row r="2" spans="1:19">
      <c r="A2" s="8" t="s">
        <v>162</v>
      </c>
      <c r="B2" s="2" t="s">
        <v>8</v>
      </c>
      <c r="D2" s="1" t="s">
        <v>179</v>
      </c>
      <c r="E2" s="1"/>
      <c r="F2" s="1"/>
      <c r="G2" s="1"/>
    </row>
    <row r="3" spans="1:19">
      <c r="A3" s="8" t="s">
        <v>163</v>
      </c>
      <c r="B3" s="8">
        <f>HLOOKUP(B2,Reference!$B$10:$R$12,3,FALSE)</f>
        <v>3.5</v>
      </c>
    </row>
    <row r="4" spans="1:19">
      <c r="A4" s="8" t="s">
        <v>160</v>
      </c>
      <c r="B4" s="9">
        <f>HLOOKUP(B2,Reference!$B$3:$R$7,4,FALSE)</f>
        <v>1539</v>
      </c>
    </row>
    <row r="5" spans="1:19">
      <c r="A5" s="8" t="s">
        <v>161</v>
      </c>
      <c r="B5" s="9">
        <f>HLOOKUP(B2,Reference!$B$3:$R$7,5,FALSE)</f>
        <v>8424</v>
      </c>
    </row>
    <row r="6" spans="1:19">
      <c r="A6" s="8" t="s">
        <v>165</v>
      </c>
      <c r="B6" s="1" t="s">
        <v>182</v>
      </c>
    </row>
    <row r="7" spans="1:19">
      <c r="A7" s="8" t="s">
        <v>21</v>
      </c>
      <c r="B7" s="8">
        <f>HLOOKUP(B6,Reference!$B$19:$AW$30,4,FALSE)</f>
        <v>37.5</v>
      </c>
    </row>
    <row r="8" spans="1:19">
      <c r="A8" s="8" t="s">
        <v>166</v>
      </c>
      <c r="B8" s="10">
        <f>HLOOKUP(B6,Reference!$B$19:$AW$30,12,FALSE)</f>
        <v>149.99</v>
      </c>
    </row>
    <row r="9" spans="1:19">
      <c r="A9" s="8" t="s">
        <v>168</v>
      </c>
      <c r="B9" s="11">
        <f>B3*B8</f>
        <v>524.96500000000003</v>
      </c>
    </row>
    <row r="10" spans="1:19">
      <c r="A10" s="5" t="s">
        <v>170</v>
      </c>
      <c r="B10" s="3">
        <f>B9+B4</f>
        <v>2063.9650000000001</v>
      </c>
    </row>
    <row r="11" spans="1:19">
      <c r="A11" s="5" t="s">
        <v>171</v>
      </c>
      <c r="B11" s="3">
        <f>B9+B5</f>
        <v>8948.9650000000001</v>
      </c>
    </row>
    <row r="12" spans="1:19">
      <c r="A12" s="5" t="s">
        <v>169</v>
      </c>
      <c r="B12" s="4">
        <f>IFERROR(B3*B7/100*8.35,"N/A")</f>
        <v>10.959375</v>
      </c>
    </row>
    <row r="15" spans="1:19">
      <c r="A15" s="6" t="s">
        <v>177</v>
      </c>
      <c r="B15" s="7"/>
      <c r="C15" s="6"/>
      <c r="D15" s="7"/>
      <c r="E15" s="6"/>
      <c r="F15" s="7"/>
      <c r="G15" s="6"/>
      <c r="H15" s="7"/>
      <c r="I15" s="6"/>
      <c r="J15" s="7"/>
      <c r="K15" s="6"/>
      <c r="L15" s="7"/>
      <c r="M15" s="6"/>
      <c r="N15" s="7"/>
      <c r="O15" s="6"/>
      <c r="P15" s="7"/>
      <c r="Q15" s="6"/>
      <c r="R15" s="7"/>
      <c r="S15" s="6"/>
    </row>
    <row r="16" spans="1:19">
      <c r="A16" s="8" t="s">
        <v>162</v>
      </c>
      <c r="B16" s="8" t="s">
        <v>0</v>
      </c>
      <c r="C16" s="8" t="s">
        <v>1</v>
      </c>
      <c r="D16" s="8" t="s">
        <v>2</v>
      </c>
      <c r="E16" s="8" t="s">
        <v>3</v>
      </c>
      <c r="F16" s="8" t="s">
        <v>4</v>
      </c>
      <c r="G16" s="8" t="s">
        <v>5</v>
      </c>
      <c r="H16" s="8" t="s">
        <v>6</v>
      </c>
      <c r="I16" s="8" t="s">
        <v>7</v>
      </c>
      <c r="J16" s="8" t="s">
        <v>8</v>
      </c>
      <c r="K16" s="8" t="s">
        <v>9</v>
      </c>
      <c r="L16" s="8" t="s">
        <v>10</v>
      </c>
      <c r="M16" s="8" t="s">
        <v>11</v>
      </c>
      <c r="N16" s="8" t="s">
        <v>12</v>
      </c>
      <c r="O16" s="8" t="s">
        <v>13</v>
      </c>
      <c r="P16" s="8" t="s">
        <v>14</v>
      </c>
      <c r="Q16" s="8" t="s">
        <v>15</v>
      </c>
      <c r="R16" s="8" t="s">
        <v>16</v>
      </c>
      <c r="S16" s="12" t="s">
        <v>18</v>
      </c>
    </row>
    <row r="17" spans="1:19">
      <c r="A17" s="8" t="s">
        <v>184</v>
      </c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3">
        <f>SUM(B17:R17)</f>
        <v>0</v>
      </c>
    </row>
    <row r="18" spans="1:19">
      <c r="A18" s="8" t="s">
        <v>163</v>
      </c>
      <c r="B18" s="8">
        <f>HLOOKUP(B16,Reference!$B$10:$R$12,3,FALSE)*B17</f>
        <v>0</v>
      </c>
      <c r="C18" s="8">
        <f>HLOOKUP(C16,Reference!$B$10:$R$12,3,FALSE)*C17</f>
        <v>0</v>
      </c>
      <c r="D18" s="8">
        <f>HLOOKUP(D16,Reference!$B$10:$R$12,3,FALSE)*D17</f>
        <v>0</v>
      </c>
      <c r="E18" s="8">
        <f>HLOOKUP(E16,Reference!$B$10:$R$12,3,FALSE)*E17</f>
        <v>0</v>
      </c>
      <c r="F18" s="8">
        <f>HLOOKUP(F16,Reference!$B$10:$R$12,3,FALSE)*F17</f>
        <v>0</v>
      </c>
      <c r="G18" s="8">
        <f>HLOOKUP(G16,Reference!$B$10:$R$12,3,FALSE)*G17</f>
        <v>0</v>
      </c>
      <c r="H18" s="8">
        <f>HLOOKUP(H16,Reference!$B$10:$R$12,3,FALSE)*H17</f>
        <v>0</v>
      </c>
      <c r="I18" s="8">
        <f>HLOOKUP(I16,Reference!$B$10:$R$12,3,FALSE)*I17</f>
        <v>0</v>
      </c>
      <c r="J18" s="8">
        <f>HLOOKUP(J16,Reference!$B$10:$R$12,3,FALSE)*J17</f>
        <v>0</v>
      </c>
      <c r="K18" s="8">
        <f>HLOOKUP(K16,Reference!$B$10:$R$12,3,FALSE)*K17</f>
        <v>0</v>
      </c>
      <c r="L18" s="8">
        <f>HLOOKUP(L16,Reference!$B$10:$R$12,3,FALSE)*L17</f>
        <v>0</v>
      </c>
      <c r="M18" s="8">
        <f>HLOOKUP(M16,Reference!$B$10:$R$12,3,FALSE)*M17</f>
        <v>0</v>
      </c>
      <c r="N18" s="8">
        <f>HLOOKUP(N16,Reference!$B$10:$R$12,3,FALSE)*N17</f>
        <v>0</v>
      </c>
      <c r="O18" s="8">
        <f>HLOOKUP(O16,Reference!$B$10:$R$12,3,FALSE)*O17</f>
        <v>0</v>
      </c>
      <c r="P18" s="8">
        <f>HLOOKUP(P16,Reference!$B$10:$R$12,3,FALSE)*P17</f>
        <v>0</v>
      </c>
      <c r="Q18" s="8">
        <f>HLOOKUP(Q16,Reference!$B$10:$R$12,3,FALSE)*Q17</f>
        <v>0</v>
      </c>
      <c r="R18" s="8">
        <f>HLOOKUP(R16,Reference!$B$10:$R$12,3,FALSE)*R17</f>
        <v>0</v>
      </c>
      <c r="S18" s="13">
        <f>SUM(B18:R18)</f>
        <v>0</v>
      </c>
    </row>
    <row r="19" spans="1:19">
      <c r="A19" s="8" t="s">
        <v>160</v>
      </c>
      <c r="B19" s="9">
        <f>HLOOKUP(B16,Reference!$B$3:$R$7,4,FALSE)*B17</f>
        <v>0</v>
      </c>
      <c r="C19" s="9">
        <f>HLOOKUP(C16,Reference!$B$3:$R$7,4,FALSE)*C17</f>
        <v>0</v>
      </c>
      <c r="D19" s="9">
        <f>HLOOKUP(D16,Reference!$B$3:$R$7,4,FALSE)*D17</f>
        <v>0</v>
      </c>
      <c r="E19" s="9">
        <f>HLOOKUP(E16,Reference!$B$3:$R$7,4,FALSE)*E17</f>
        <v>0</v>
      </c>
      <c r="F19" s="9">
        <f>HLOOKUP(F16,Reference!$B$3:$R$7,4,FALSE)*F17</f>
        <v>0</v>
      </c>
      <c r="G19" s="9">
        <f>HLOOKUP(G16,Reference!$B$3:$R$7,4,FALSE)*G17</f>
        <v>0</v>
      </c>
      <c r="H19" s="9">
        <f>HLOOKUP(H16,Reference!$B$3:$R$7,4,FALSE)*H17</f>
        <v>0</v>
      </c>
      <c r="I19" s="9">
        <f>HLOOKUP(I16,Reference!$B$3:$R$7,4,FALSE)*I17</f>
        <v>0</v>
      </c>
      <c r="J19" s="9">
        <f>HLOOKUP(J16,Reference!$B$3:$R$7,4,FALSE)*J17</f>
        <v>0</v>
      </c>
      <c r="K19" s="9">
        <f>HLOOKUP(K16,Reference!$B$3:$R$7,4,FALSE)*K17</f>
        <v>0</v>
      </c>
      <c r="L19" s="9">
        <f>HLOOKUP(L16,Reference!$B$3:$R$7,4,FALSE)*L17</f>
        <v>0</v>
      </c>
      <c r="M19" s="9">
        <f>HLOOKUP(M16,Reference!$B$3:$R$7,4,FALSE)*M17</f>
        <v>0</v>
      </c>
      <c r="N19" s="9">
        <f>HLOOKUP(N16,Reference!$B$3:$R$7,4,FALSE)*N17</f>
        <v>0</v>
      </c>
      <c r="O19" s="9">
        <f>HLOOKUP(O16,Reference!$B$3:$R$7,4,FALSE)*O17</f>
        <v>0</v>
      </c>
      <c r="P19" s="9">
        <f>HLOOKUP(P16,Reference!$B$3:$R$7,4,FALSE)*P17</f>
        <v>0</v>
      </c>
      <c r="Q19" s="9">
        <f>HLOOKUP(Q16,Reference!$B$3:$R$7,4,FALSE)*Q17</f>
        <v>0</v>
      </c>
      <c r="R19" s="9">
        <f>HLOOKUP(R16,Reference!$B$3:$R$7,4,FALSE)*R17</f>
        <v>0</v>
      </c>
      <c r="S19" s="14">
        <f>SUM(B19:R19)</f>
        <v>0</v>
      </c>
    </row>
    <row r="20" spans="1:19">
      <c r="A20" s="8" t="s">
        <v>161</v>
      </c>
      <c r="B20" s="9">
        <f>HLOOKUP(B16,Reference!$B$3:$R$7,5,FALSE)*B17</f>
        <v>0</v>
      </c>
      <c r="C20" s="9">
        <f>HLOOKUP(C16,Reference!$B$3:$R$7,5,FALSE)*C17</f>
        <v>0</v>
      </c>
      <c r="D20" s="9">
        <f>HLOOKUP(D16,Reference!$B$3:$R$7,5,FALSE)*D17</f>
        <v>0</v>
      </c>
      <c r="E20" s="9">
        <f>HLOOKUP(E16,Reference!$B$3:$R$7,5,FALSE)*E17</f>
        <v>0</v>
      </c>
      <c r="F20" s="9">
        <f>HLOOKUP(F16,Reference!$B$3:$R$7,5,FALSE)*F17</f>
        <v>0</v>
      </c>
      <c r="G20" s="9">
        <f>HLOOKUP(G16,Reference!$B$3:$R$7,5,FALSE)*G17</f>
        <v>0</v>
      </c>
      <c r="H20" s="9">
        <f>HLOOKUP(H16,Reference!$B$3:$R$7,5,FALSE)*H17</f>
        <v>0</v>
      </c>
      <c r="I20" s="9">
        <f>HLOOKUP(I16,Reference!$B$3:$R$7,5,FALSE)*I17</f>
        <v>0</v>
      </c>
      <c r="J20" s="9">
        <f>HLOOKUP(J16,Reference!$B$3:$R$7,5,FALSE)*J17</f>
        <v>0</v>
      </c>
      <c r="K20" s="9">
        <f>HLOOKUP(K16,Reference!$B$3:$R$7,5,FALSE)*K17</f>
        <v>0</v>
      </c>
      <c r="L20" s="9">
        <f>HLOOKUP(L16,Reference!$B$3:$R$7,5,FALSE)*L17</f>
        <v>0</v>
      </c>
      <c r="M20" s="9">
        <f>HLOOKUP(M16,Reference!$B$3:$R$7,5,FALSE)*M17</f>
        <v>0</v>
      </c>
      <c r="N20" s="9">
        <f>HLOOKUP(N16,Reference!$B$3:$R$7,5,FALSE)*N17</f>
        <v>0</v>
      </c>
      <c r="O20" s="9">
        <f>HLOOKUP(O16,Reference!$B$3:$R$7,5,FALSE)*O17</f>
        <v>0</v>
      </c>
      <c r="P20" s="9">
        <f>HLOOKUP(P16,Reference!$B$3:$R$7,5,FALSE)*P17</f>
        <v>0</v>
      </c>
      <c r="Q20" s="9">
        <f>HLOOKUP(Q16,Reference!$B$3:$R$7,5,FALSE)*Q17</f>
        <v>0</v>
      </c>
      <c r="R20" s="9">
        <f>HLOOKUP(R16,Reference!$B$3:$R$7,5,FALSE)*R17</f>
        <v>0</v>
      </c>
      <c r="S20" s="14">
        <f>SUM(B20:R20)</f>
        <v>0</v>
      </c>
    </row>
    <row r="21" spans="1:19">
      <c r="A21" s="8" t="s">
        <v>165</v>
      </c>
      <c r="B21" s="1" t="s">
        <v>167</v>
      </c>
      <c r="C21" s="1" t="s">
        <v>167</v>
      </c>
      <c r="D21" s="1" t="s">
        <v>167</v>
      </c>
      <c r="E21" s="1" t="s">
        <v>167</v>
      </c>
      <c r="F21" s="1" t="s">
        <v>167</v>
      </c>
      <c r="G21" s="1" t="s">
        <v>167</v>
      </c>
      <c r="H21" s="1" t="s">
        <v>167</v>
      </c>
      <c r="I21" s="1" t="s">
        <v>167</v>
      </c>
      <c r="J21" s="1" t="s">
        <v>167</v>
      </c>
      <c r="K21" s="1" t="s">
        <v>167</v>
      </c>
      <c r="L21" s="1" t="s">
        <v>167</v>
      </c>
      <c r="M21" s="1" t="s">
        <v>181</v>
      </c>
      <c r="N21" s="1" t="s">
        <v>167</v>
      </c>
      <c r="O21" s="1" t="s">
        <v>183</v>
      </c>
      <c r="P21" s="1" t="s">
        <v>167</v>
      </c>
      <c r="Q21" s="1" t="s">
        <v>167</v>
      </c>
      <c r="R21" s="1" t="s">
        <v>167</v>
      </c>
      <c r="S21" s="13"/>
    </row>
    <row r="22" spans="1:19">
      <c r="A22" s="8" t="s">
        <v>21</v>
      </c>
      <c r="B22" s="8">
        <f>HLOOKUP(B21,Reference!$B$19:$AW$30,4,FALSE)</f>
        <v>47.5</v>
      </c>
      <c r="C22" s="8">
        <f>HLOOKUP(C21,Reference!$B$19:$AW$30,4,FALSE)</f>
        <v>47.5</v>
      </c>
      <c r="D22" s="8">
        <f>HLOOKUP(D21,Reference!$B$19:$AW$30,4,FALSE)</f>
        <v>47.5</v>
      </c>
      <c r="E22" s="8">
        <f>HLOOKUP(E21,Reference!$B$19:$AW$30,4,FALSE)</f>
        <v>47.5</v>
      </c>
      <c r="F22" s="8">
        <f>HLOOKUP(F21,Reference!$B$19:$AW$30,4,FALSE)</f>
        <v>47.5</v>
      </c>
      <c r="G22" s="8">
        <f>HLOOKUP(G21,Reference!$B$19:$AW$30,4,FALSE)</f>
        <v>47.5</v>
      </c>
      <c r="H22" s="8">
        <f>HLOOKUP(H21,Reference!$B$19:$AW$30,4,FALSE)</f>
        <v>47.5</v>
      </c>
      <c r="I22" s="8">
        <f>HLOOKUP(I21,Reference!$B$19:$AW$30,4,FALSE)</f>
        <v>47.5</v>
      </c>
      <c r="J22" s="8">
        <f>HLOOKUP(J21,Reference!$B$19:$AW$30,4,FALSE)</f>
        <v>47.5</v>
      </c>
      <c r="K22" s="8">
        <f>HLOOKUP(K21,Reference!$B$19:$AW$30,4,FALSE)</f>
        <v>47.5</v>
      </c>
      <c r="L22" s="8">
        <f>HLOOKUP(L21,Reference!$B$19:$AW$30,4,FALSE)</f>
        <v>47.5</v>
      </c>
      <c r="M22" s="8">
        <f>HLOOKUP(M21,Reference!$B$19:$AW$30,4,FALSE)</f>
        <v>42</v>
      </c>
      <c r="N22" s="8">
        <f>HLOOKUP(N21,Reference!$B$19:$AW$30,4,FALSE)</f>
        <v>47.5</v>
      </c>
      <c r="O22" s="8">
        <f>HLOOKUP(O21,Reference!$B$19:$AW$30,4,FALSE)</f>
        <v>46.45</v>
      </c>
      <c r="P22" s="8">
        <f>HLOOKUP(P21,Reference!$B$19:$AW$30,4,FALSE)</f>
        <v>47.5</v>
      </c>
      <c r="Q22" s="8">
        <f>HLOOKUP(Q21,Reference!$B$19:$AW$30,4,FALSE)</f>
        <v>47.5</v>
      </c>
      <c r="R22" s="8">
        <f>HLOOKUP(R21,Reference!$B$19:$AW$30,4,FALSE)</f>
        <v>47.5</v>
      </c>
      <c r="S22" s="13"/>
    </row>
    <row r="23" spans="1:19">
      <c r="A23" s="8" t="s">
        <v>166</v>
      </c>
      <c r="B23" s="10">
        <f>HLOOKUP(B21,Reference!$B$19:$AW$30,12,FALSE)</f>
        <v>249.99</v>
      </c>
      <c r="C23" s="10">
        <f>HLOOKUP(C21,Reference!$B$19:$AW$30,12,FALSE)</f>
        <v>249.99</v>
      </c>
      <c r="D23" s="10">
        <f>HLOOKUP(D21,Reference!$B$19:$AW$30,12,FALSE)</f>
        <v>249.99</v>
      </c>
      <c r="E23" s="10">
        <f>HLOOKUP(E21,Reference!$B$19:$AW$30,12,FALSE)</f>
        <v>249.99</v>
      </c>
      <c r="F23" s="10">
        <f>HLOOKUP(F21,Reference!$B$19:$AW$30,12,FALSE)</f>
        <v>249.99</v>
      </c>
      <c r="G23" s="10">
        <f>HLOOKUP(G21,Reference!$B$19:$AW$30,12,FALSE)</f>
        <v>249.99</v>
      </c>
      <c r="H23" s="10">
        <f>HLOOKUP(H21,Reference!$B$19:$AW$30,12,FALSE)</f>
        <v>249.99</v>
      </c>
      <c r="I23" s="10">
        <f>HLOOKUP(I21,Reference!$B$19:$AW$30,12,FALSE)</f>
        <v>249.99</v>
      </c>
      <c r="J23" s="10">
        <f>HLOOKUP(J21,Reference!$B$19:$AW$30,12,FALSE)</f>
        <v>249.99</v>
      </c>
      <c r="K23" s="10">
        <f>HLOOKUP(K21,Reference!$B$19:$AW$30,12,FALSE)</f>
        <v>249.99</v>
      </c>
      <c r="L23" s="10">
        <f>HLOOKUP(L21,Reference!$B$19:$AW$30,12,FALSE)</f>
        <v>249.99</v>
      </c>
      <c r="M23" s="10">
        <f>HLOOKUP(M21,Reference!$B$19:$AW$30,12,FALSE)</f>
        <v>184.99</v>
      </c>
      <c r="N23" s="10">
        <f>HLOOKUP(N21,Reference!$B$19:$AW$30,12,FALSE)</f>
        <v>249.99</v>
      </c>
      <c r="O23" s="10">
        <f>HLOOKUP(O21,Reference!$B$19:$AW$30,12,FALSE)</f>
        <v>199.99</v>
      </c>
      <c r="P23" s="10">
        <f>HLOOKUP(P21,Reference!$B$19:$AW$30,12,FALSE)</f>
        <v>249.99</v>
      </c>
      <c r="Q23" s="10">
        <f>HLOOKUP(Q21,Reference!$B$19:$AW$30,12,FALSE)</f>
        <v>249.99</v>
      </c>
      <c r="R23" s="10">
        <f>HLOOKUP(R21,Reference!$B$19:$AW$30,12,FALSE)</f>
        <v>249.99</v>
      </c>
      <c r="S23" s="13"/>
    </row>
    <row r="24" spans="1:19">
      <c r="A24" s="8" t="s">
        <v>168</v>
      </c>
      <c r="B24" s="11">
        <f t="shared" ref="B24:R24" si="0">B18*B23</f>
        <v>0</v>
      </c>
      <c r="C24" s="11">
        <f t="shared" si="0"/>
        <v>0</v>
      </c>
      <c r="D24" s="11">
        <f t="shared" si="0"/>
        <v>0</v>
      </c>
      <c r="E24" s="11">
        <f t="shared" si="0"/>
        <v>0</v>
      </c>
      <c r="F24" s="11">
        <f t="shared" si="0"/>
        <v>0</v>
      </c>
      <c r="G24" s="11">
        <f t="shared" si="0"/>
        <v>0</v>
      </c>
      <c r="H24" s="11">
        <f t="shared" si="0"/>
        <v>0</v>
      </c>
      <c r="I24" s="11">
        <f t="shared" si="0"/>
        <v>0</v>
      </c>
      <c r="J24" s="11">
        <f t="shared" si="0"/>
        <v>0</v>
      </c>
      <c r="K24" s="11">
        <f t="shared" si="0"/>
        <v>0</v>
      </c>
      <c r="L24" s="11">
        <f t="shared" si="0"/>
        <v>0</v>
      </c>
      <c r="M24" s="11">
        <f t="shared" si="0"/>
        <v>0</v>
      </c>
      <c r="N24" s="11">
        <f t="shared" si="0"/>
        <v>0</v>
      </c>
      <c r="O24" s="11">
        <f t="shared" si="0"/>
        <v>0</v>
      </c>
      <c r="P24" s="11">
        <f t="shared" si="0"/>
        <v>0</v>
      </c>
      <c r="Q24" s="11">
        <f t="shared" si="0"/>
        <v>0</v>
      </c>
      <c r="R24" s="11">
        <f t="shared" si="0"/>
        <v>0</v>
      </c>
      <c r="S24" s="14">
        <f>SUM(B24:R24)</f>
        <v>0</v>
      </c>
    </row>
    <row r="25" spans="1:19">
      <c r="A25" s="5" t="s">
        <v>170</v>
      </c>
      <c r="B25" s="3">
        <f t="shared" ref="B25:R25" si="1">B24+B19</f>
        <v>0</v>
      </c>
      <c r="C25" s="3">
        <f t="shared" si="1"/>
        <v>0</v>
      </c>
      <c r="D25" s="3">
        <f t="shared" si="1"/>
        <v>0</v>
      </c>
      <c r="E25" s="3">
        <f t="shared" si="1"/>
        <v>0</v>
      </c>
      <c r="F25" s="3">
        <f t="shared" si="1"/>
        <v>0</v>
      </c>
      <c r="G25" s="3">
        <f t="shared" si="1"/>
        <v>0</v>
      </c>
      <c r="H25" s="3">
        <f t="shared" si="1"/>
        <v>0</v>
      </c>
      <c r="I25" s="3">
        <f t="shared" si="1"/>
        <v>0</v>
      </c>
      <c r="J25" s="3">
        <f t="shared" si="1"/>
        <v>0</v>
      </c>
      <c r="K25" s="3">
        <f t="shared" si="1"/>
        <v>0</v>
      </c>
      <c r="L25" s="3">
        <f t="shared" si="1"/>
        <v>0</v>
      </c>
      <c r="M25" s="3">
        <f t="shared" si="1"/>
        <v>0</v>
      </c>
      <c r="N25" s="3">
        <f t="shared" si="1"/>
        <v>0</v>
      </c>
      <c r="O25" s="3">
        <f t="shared" si="1"/>
        <v>0</v>
      </c>
      <c r="P25" s="3">
        <f t="shared" si="1"/>
        <v>0</v>
      </c>
      <c r="Q25" s="3">
        <f t="shared" si="1"/>
        <v>0</v>
      </c>
      <c r="R25" s="3">
        <f t="shared" si="1"/>
        <v>0</v>
      </c>
      <c r="S25" s="14">
        <f>SUM(B25:R25)</f>
        <v>0</v>
      </c>
    </row>
    <row r="26" spans="1:19">
      <c r="A26" s="5" t="s">
        <v>171</v>
      </c>
      <c r="B26" s="3">
        <f t="shared" ref="B26:R26" si="2">B24+B20</f>
        <v>0</v>
      </c>
      <c r="C26" s="3">
        <f t="shared" si="2"/>
        <v>0</v>
      </c>
      <c r="D26" s="3">
        <f t="shared" si="2"/>
        <v>0</v>
      </c>
      <c r="E26" s="3">
        <f t="shared" si="2"/>
        <v>0</v>
      </c>
      <c r="F26" s="3">
        <f t="shared" si="2"/>
        <v>0</v>
      </c>
      <c r="G26" s="3">
        <f t="shared" si="2"/>
        <v>0</v>
      </c>
      <c r="H26" s="3">
        <f t="shared" si="2"/>
        <v>0</v>
      </c>
      <c r="I26" s="3">
        <f t="shared" si="2"/>
        <v>0</v>
      </c>
      <c r="J26" s="3">
        <f t="shared" si="2"/>
        <v>0</v>
      </c>
      <c r="K26" s="3">
        <f t="shared" si="2"/>
        <v>0</v>
      </c>
      <c r="L26" s="3">
        <f t="shared" si="2"/>
        <v>0</v>
      </c>
      <c r="M26" s="3">
        <f t="shared" si="2"/>
        <v>0</v>
      </c>
      <c r="N26" s="3">
        <f t="shared" si="2"/>
        <v>0</v>
      </c>
      <c r="O26" s="3">
        <f t="shared" si="2"/>
        <v>0</v>
      </c>
      <c r="P26" s="3">
        <f t="shared" si="2"/>
        <v>0</v>
      </c>
      <c r="Q26" s="3">
        <f t="shared" si="2"/>
        <v>0</v>
      </c>
      <c r="R26" s="3">
        <f t="shared" si="2"/>
        <v>0</v>
      </c>
      <c r="S26" s="14">
        <f>SUM(B26:R26)</f>
        <v>0</v>
      </c>
    </row>
    <row r="27" spans="1:19">
      <c r="A27" s="5" t="s">
        <v>169</v>
      </c>
      <c r="B27" s="4">
        <f>IFERROR(B18*B22/100*8.35,"N/A")</f>
        <v>0</v>
      </c>
      <c r="C27" s="4">
        <f t="shared" ref="C27:R27" si="3">IFERROR(C18*C22/100*8.35,"N/A")</f>
        <v>0</v>
      </c>
      <c r="D27" s="4">
        <f t="shared" si="3"/>
        <v>0</v>
      </c>
      <c r="E27" s="4">
        <f t="shared" si="3"/>
        <v>0</v>
      </c>
      <c r="F27" s="4">
        <f t="shared" si="3"/>
        <v>0</v>
      </c>
      <c r="G27" s="4">
        <f t="shared" si="3"/>
        <v>0</v>
      </c>
      <c r="H27" s="4">
        <f t="shared" si="3"/>
        <v>0</v>
      </c>
      <c r="I27" s="4">
        <f t="shared" si="3"/>
        <v>0</v>
      </c>
      <c r="J27" s="4">
        <f t="shared" si="3"/>
        <v>0</v>
      </c>
      <c r="K27" s="4">
        <f t="shared" si="3"/>
        <v>0</v>
      </c>
      <c r="L27" s="4">
        <f t="shared" si="3"/>
        <v>0</v>
      </c>
      <c r="M27" s="4">
        <f t="shared" si="3"/>
        <v>0</v>
      </c>
      <c r="N27" s="4">
        <f t="shared" si="3"/>
        <v>0</v>
      </c>
      <c r="O27" s="4">
        <f t="shared" si="3"/>
        <v>0</v>
      </c>
      <c r="P27" s="4">
        <f t="shared" si="3"/>
        <v>0</v>
      </c>
      <c r="Q27" s="4">
        <f t="shared" si="3"/>
        <v>0</v>
      </c>
      <c r="R27" s="4">
        <f t="shared" si="3"/>
        <v>0</v>
      </c>
      <c r="S27" s="13">
        <f>SUM(B27:R27)</f>
        <v>0</v>
      </c>
    </row>
  </sheetData>
  <dataValidations count="2">
    <dataValidation type="list" allowBlank="1" showInputMessage="1" showErrorMessage="1" sqref="B16">
      <formula1>#REF!</formula1>
    </dataValidation>
    <dataValidation type="list" allowBlank="1" showInputMessage="1" showErrorMessage="1" sqref="B2">
      <formula1>$B$16:$R$16</formula1>
    </dataValidation>
  </dataValidation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Reference!$B$19:$AW$19</xm:f>
          </x14:formula1>
          <xm:sqref>B21:R21 B6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30"/>
  <sheetViews>
    <sheetView topLeftCell="A22" zoomScale="80" zoomScaleNormal="80" workbookViewId="0">
      <selection activeCell="A29" sqref="A29:XFD29"/>
    </sheetView>
  </sheetViews>
  <sheetFormatPr defaultColWidth="12.5" defaultRowHeight="19.2" customHeight="1"/>
  <cols>
    <col min="1" max="1" width="17.09765625" style="15" customWidth="1"/>
    <col min="2" max="16384" width="12.5" style="15"/>
  </cols>
  <sheetData>
    <row r="1" spans="1:49" ht="19.2" customHeight="1">
      <c r="A1" s="15" t="s">
        <v>178</v>
      </c>
    </row>
    <row r="2" spans="1:49" ht="19.2" customHeight="1">
      <c r="A2" s="15" t="s">
        <v>172</v>
      </c>
    </row>
    <row r="3" spans="1:49" ht="19.2" customHeight="1">
      <c r="A3" s="15" t="s">
        <v>94</v>
      </c>
      <c r="B3" s="15" t="s">
        <v>0</v>
      </c>
      <c r="C3" s="15" t="s">
        <v>1</v>
      </c>
      <c r="D3" s="15" t="s">
        <v>2</v>
      </c>
      <c r="E3" s="15" t="s">
        <v>3</v>
      </c>
      <c r="F3" s="15" t="s">
        <v>4</v>
      </c>
      <c r="G3" s="15" t="s">
        <v>5</v>
      </c>
      <c r="H3" s="15" t="s">
        <v>6</v>
      </c>
      <c r="I3" s="15" t="s">
        <v>7</v>
      </c>
      <c r="J3" s="15" t="s">
        <v>8</v>
      </c>
      <c r="K3" s="15" t="s">
        <v>9</v>
      </c>
      <c r="L3" s="15" t="s">
        <v>10</v>
      </c>
      <c r="M3" s="15" t="s">
        <v>11</v>
      </c>
      <c r="N3" s="15" t="s">
        <v>12</v>
      </c>
      <c r="O3" s="15" t="s">
        <v>13</v>
      </c>
      <c r="P3" s="15" t="s">
        <v>14</v>
      </c>
      <c r="Q3" s="15" t="s">
        <v>15</v>
      </c>
      <c r="R3" s="15" t="s">
        <v>16</v>
      </c>
    </row>
    <row r="4" spans="1:49" ht="19.2" customHeight="1">
      <c r="A4" s="15" t="s">
        <v>173</v>
      </c>
      <c r="B4" s="15">
        <v>10</v>
      </c>
      <c r="C4" s="15">
        <f>AVERAGE(11,14)</f>
        <v>12.5</v>
      </c>
      <c r="D4" s="15">
        <f>AVERAGE(15,18)</f>
        <v>16.5</v>
      </c>
      <c r="E4" s="15">
        <f>AVERAGE(19,22)</f>
        <v>20.5</v>
      </c>
      <c r="F4" s="15">
        <f>AVERAGE(23,26)</f>
        <v>24.5</v>
      </c>
      <c r="G4" s="15">
        <f>AVERAGE(27,30)</f>
        <v>28.5</v>
      </c>
      <c r="H4" s="15">
        <f>AVERAGE(31,34)</f>
        <v>32.5</v>
      </c>
      <c r="I4" s="15">
        <f>AVERAGE(35,38)</f>
        <v>36.5</v>
      </c>
      <c r="J4" s="15">
        <f>AVERAGE(39,42)</f>
        <v>40.5</v>
      </c>
      <c r="K4" s="15">
        <f>AVERAGE(43,46)</f>
        <v>44.5</v>
      </c>
      <c r="L4" s="15">
        <f>AVERAGE(47,50)</f>
        <v>48.5</v>
      </c>
      <c r="M4" s="15">
        <f>AVERAGE(51,54)</f>
        <v>52.5</v>
      </c>
      <c r="N4" s="15">
        <f>AVERAGE(55,58)</f>
        <v>56.5</v>
      </c>
      <c r="O4" s="15">
        <f>AVERAGE(59,62)</f>
        <v>60.5</v>
      </c>
      <c r="P4" s="15">
        <f>AVERAGE(63,66)</f>
        <v>64.5</v>
      </c>
      <c r="Q4" s="15">
        <f>AVERAGE(67,70)</f>
        <v>68.5</v>
      </c>
      <c r="R4" s="15">
        <f>AVERAGE(70)</f>
        <v>70</v>
      </c>
    </row>
    <row r="5" spans="1:49" ht="19.2" customHeight="1">
      <c r="A5" s="15" t="s">
        <v>174</v>
      </c>
      <c r="B5" s="15">
        <f t="shared" ref="B5:L5" si="0">B4*(28+2)</f>
        <v>300</v>
      </c>
      <c r="C5" s="15">
        <f t="shared" si="0"/>
        <v>375</v>
      </c>
      <c r="D5" s="15">
        <f t="shared" si="0"/>
        <v>495</v>
      </c>
      <c r="E5" s="15">
        <f t="shared" si="0"/>
        <v>615</v>
      </c>
      <c r="F5" s="15">
        <f t="shared" si="0"/>
        <v>735</v>
      </c>
      <c r="G5" s="15">
        <f t="shared" si="0"/>
        <v>855</v>
      </c>
      <c r="H5" s="15">
        <f t="shared" si="0"/>
        <v>975</v>
      </c>
      <c r="I5" s="15">
        <f t="shared" si="0"/>
        <v>1095</v>
      </c>
      <c r="J5" s="15">
        <f t="shared" si="0"/>
        <v>1215</v>
      </c>
      <c r="K5" s="15">
        <f t="shared" si="0"/>
        <v>1335</v>
      </c>
      <c r="L5" s="15">
        <f t="shared" si="0"/>
        <v>1455</v>
      </c>
      <c r="M5" s="15">
        <f>M4*(31+2)</f>
        <v>1732.5</v>
      </c>
      <c r="N5" s="15">
        <f>N4*(34+2)</f>
        <v>2034</v>
      </c>
      <c r="O5" s="15">
        <f>O4*(40+2)</f>
        <v>2541</v>
      </c>
      <c r="P5" s="15">
        <f>P4*(40+2)</f>
        <v>2709</v>
      </c>
      <c r="Q5" s="15">
        <f>Q4*(40+2)</f>
        <v>2877</v>
      </c>
      <c r="R5" s="15">
        <f>R4*(43+2)</f>
        <v>3150</v>
      </c>
    </row>
    <row r="6" spans="1:49" ht="19.2" customHeight="1">
      <c r="A6" s="15" t="s">
        <v>175</v>
      </c>
      <c r="B6" s="15">
        <f t="shared" ref="B6:L6" si="1">B4*(36+2)</f>
        <v>380</v>
      </c>
      <c r="C6" s="15">
        <f t="shared" si="1"/>
        <v>475</v>
      </c>
      <c r="D6" s="15">
        <f t="shared" si="1"/>
        <v>627</v>
      </c>
      <c r="E6" s="15">
        <f t="shared" si="1"/>
        <v>779</v>
      </c>
      <c r="F6" s="15">
        <f t="shared" si="1"/>
        <v>931</v>
      </c>
      <c r="G6" s="15">
        <f t="shared" si="1"/>
        <v>1083</v>
      </c>
      <c r="H6" s="15">
        <f t="shared" si="1"/>
        <v>1235</v>
      </c>
      <c r="I6" s="15">
        <f t="shared" si="1"/>
        <v>1387</v>
      </c>
      <c r="J6" s="15">
        <f t="shared" si="1"/>
        <v>1539</v>
      </c>
      <c r="K6" s="15">
        <f t="shared" si="1"/>
        <v>1691</v>
      </c>
      <c r="L6" s="15">
        <f t="shared" si="1"/>
        <v>1843</v>
      </c>
      <c r="M6" s="15">
        <f>M4*(40+2)</f>
        <v>2205</v>
      </c>
      <c r="N6" s="15">
        <f>N4*(43+2)</f>
        <v>2542.5</v>
      </c>
      <c r="O6" s="15">
        <f>O4*(51+2)</f>
        <v>3206.5</v>
      </c>
      <c r="P6" s="15">
        <f>P4*(51+2)</f>
        <v>3418.5</v>
      </c>
      <c r="Q6" s="15">
        <f>Q4*(51+2)</f>
        <v>3630.5</v>
      </c>
      <c r="R6" s="15">
        <f>R4*(54+2)</f>
        <v>3920</v>
      </c>
    </row>
    <row r="7" spans="1:49" ht="19.2" customHeight="1">
      <c r="A7" s="15" t="s">
        <v>176</v>
      </c>
      <c r="B7" s="15">
        <f t="shared" ref="B7:L7" si="2">B4*(170+36+2)</f>
        <v>2080</v>
      </c>
      <c r="C7" s="15">
        <f t="shared" si="2"/>
        <v>2600</v>
      </c>
      <c r="D7" s="15">
        <f t="shared" si="2"/>
        <v>3432</v>
      </c>
      <c r="E7" s="15">
        <f t="shared" si="2"/>
        <v>4264</v>
      </c>
      <c r="F7" s="15">
        <f t="shared" si="2"/>
        <v>5096</v>
      </c>
      <c r="G7" s="15">
        <f t="shared" si="2"/>
        <v>5928</v>
      </c>
      <c r="H7" s="15">
        <f t="shared" si="2"/>
        <v>6760</v>
      </c>
      <c r="I7" s="15">
        <f t="shared" si="2"/>
        <v>7592</v>
      </c>
      <c r="J7" s="15">
        <f t="shared" si="2"/>
        <v>8424</v>
      </c>
      <c r="K7" s="15">
        <f t="shared" si="2"/>
        <v>9256</v>
      </c>
      <c r="L7" s="15">
        <f t="shared" si="2"/>
        <v>10088</v>
      </c>
      <c r="M7" s="15">
        <f>M4*(170+40+2)</f>
        <v>11130</v>
      </c>
      <c r="N7" s="15">
        <f>N4*(170+43+2)</f>
        <v>12147.5</v>
      </c>
      <c r="O7" s="15">
        <f>O4*(170+51+2)</f>
        <v>13491.5</v>
      </c>
      <c r="P7" s="15">
        <f>P4*(170+51+2)</f>
        <v>14383.5</v>
      </c>
      <c r="Q7" s="15">
        <f>Q4*(170+51+2)</f>
        <v>15275.5</v>
      </c>
      <c r="R7" s="15">
        <f>R4*(170+54+2)</f>
        <v>15820</v>
      </c>
    </row>
    <row r="8" spans="1:49" ht="19.2" customHeight="1" thickBot="1"/>
    <row r="9" spans="1:49" ht="19.2" customHeight="1">
      <c r="A9" s="16" t="s">
        <v>93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8"/>
    </row>
    <row r="10" spans="1:49" ht="19.2" customHeight="1">
      <c r="A10" s="19" t="s">
        <v>94</v>
      </c>
      <c r="B10" s="20" t="s">
        <v>0</v>
      </c>
      <c r="C10" s="20" t="s">
        <v>1</v>
      </c>
      <c r="D10" s="20" t="s">
        <v>2</v>
      </c>
      <c r="E10" s="20" t="s">
        <v>3</v>
      </c>
      <c r="F10" s="20" t="s">
        <v>4</v>
      </c>
      <c r="G10" s="20" t="s">
        <v>5</v>
      </c>
      <c r="H10" s="20" t="s">
        <v>6</v>
      </c>
      <c r="I10" s="20" t="s">
        <v>7</v>
      </c>
      <c r="J10" s="20" t="s">
        <v>8</v>
      </c>
      <c r="K10" s="20" t="s">
        <v>9</v>
      </c>
      <c r="L10" s="20" t="s">
        <v>10</v>
      </c>
      <c r="M10" s="20" t="s">
        <v>11</v>
      </c>
      <c r="N10" s="20" t="s">
        <v>12</v>
      </c>
      <c r="O10" s="20" t="s">
        <v>13</v>
      </c>
      <c r="P10" s="20" t="s">
        <v>14</v>
      </c>
      <c r="Q10" s="20" t="s">
        <v>15</v>
      </c>
      <c r="R10" s="21" t="s">
        <v>16</v>
      </c>
    </row>
    <row r="11" spans="1:49" ht="19.2" customHeight="1">
      <c r="A11" s="19" t="s">
        <v>157</v>
      </c>
      <c r="B11" s="20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1"/>
    </row>
    <row r="12" spans="1:49" ht="19.2" customHeight="1">
      <c r="A12" s="19" t="s">
        <v>155</v>
      </c>
      <c r="B12" s="22">
        <v>0.25</v>
      </c>
      <c r="C12" s="22">
        <v>0.5</v>
      </c>
      <c r="D12" s="22">
        <v>0.875</v>
      </c>
      <c r="E12" s="22">
        <v>1.5</v>
      </c>
      <c r="F12" s="22">
        <v>1.75</v>
      </c>
      <c r="G12" s="22">
        <v>2.125</v>
      </c>
      <c r="H12" s="22">
        <v>2.5</v>
      </c>
      <c r="I12" s="22">
        <v>2.75</v>
      </c>
      <c r="J12" s="22">
        <v>3.5</v>
      </c>
      <c r="K12" s="22">
        <v>4.375</v>
      </c>
      <c r="L12" s="22">
        <v>5.25</v>
      </c>
      <c r="M12" s="22">
        <v>6.375</v>
      </c>
      <c r="N12" s="22">
        <v>6.875</v>
      </c>
      <c r="O12" s="22">
        <v>8</v>
      </c>
      <c r="P12" s="22">
        <v>9</v>
      </c>
      <c r="Q12" s="22">
        <v>10.25</v>
      </c>
      <c r="R12" s="23">
        <v>11</v>
      </c>
    </row>
    <row r="13" spans="1:49" ht="19.2" customHeight="1" thickBot="1">
      <c r="A13" s="24" t="s">
        <v>156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6"/>
    </row>
    <row r="15" spans="1:49" ht="19.2" customHeight="1">
      <c r="A15" s="27" t="s">
        <v>92</v>
      </c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30"/>
      <c r="T15" s="29"/>
      <c r="U15" s="29"/>
      <c r="V15" s="29"/>
      <c r="W15" s="30"/>
      <c r="X15" s="29"/>
      <c r="Y15" s="31"/>
      <c r="Z15" s="31"/>
      <c r="AA15" s="31"/>
      <c r="AB15" s="31"/>
      <c r="AC15" s="31"/>
      <c r="AD15" s="31"/>
      <c r="AE15" s="31"/>
      <c r="AF15" s="31"/>
      <c r="AG15" s="31"/>
      <c r="AH15" s="31"/>
      <c r="AI15" s="31"/>
      <c r="AJ15" s="32"/>
      <c r="AK15" s="31"/>
      <c r="AL15" s="31"/>
      <c r="AM15" s="31"/>
      <c r="AN15" s="31"/>
      <c r="AO15" s="31"/>
      <c r="AP15" s="31"/>
      <c r="AQ15" s="31"/>
      <c r="AR15" s="32"/>
      <c r="AS15" s="31"/>
      <c r="AT15" s="31"/>
      <c r="AU15" s="31"/>
      <c r="AV15" s="31"/>
      <c r="AW15" s="32"/>
    </row>
    <row r="16" spans="1:49" ht="19.2" customHeight="1">
      <c r="A16" s="33" t="s">
        <v>91</v>
      </c>
      <c r="B16" s="34" t="s">
        <v>23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6"/>
      <c r="T16" s="37" t="s">
        <v>71</v>
      </c>
      <c r="U16" s="37"/>
      <c r="V16" s="37"/>
      <c r="W16" s="38"/>
      <c r="X16" s="35" t="s">
        <v>83</v>
      </c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40"/>
      <c r="AK16" s="39" t="s">
        <v>158</v>
      </c>
      <c r="AL16" s="41" t="s">
        <v>95</v>
      </c>
      <c r="AM16" s="41"/>
      <c r="AN16" s="41"/>
      <c r="AO16" s="41"/>
      <c r="AP16" s="41"/>
      <c r="AQ16" s="41"/>
      <c r="AR16" s="42"/>
      <c r="AS16" s="41" t="s">
        <v>159</v>
      </c>
      <c r="AT16" s="39" t="s">
        <v>96</v>
      </c>
      <c r="AU16" s="39"/>
      <c r="AV16" s="39"/>
      <c r="AW16" s="40"/>
    </row>
    <row r="17" spans="1:49" ht="19.2" customHeight="1">
      <c r="A17" s="43" t="s">
        <v>19</v>
      </c>
      <c r="B17" s="44" t="s">
        <v>25</v>
      </c>
      <c r="C17" s="45" t="s">
        <v>25</v>
      </c>
      <c r="D17" s="43" t="s">
        <v>32</v>
      </c>
      <c r="E17" s="43" t="s">
        <v>32</v>
      </c>
      <c r="F17" s="43" t="s">
        <v>32</v>
      </c>
      <c r="G17" s="43" t="s">
        <v>32</v>
      </c>
      <c r="H17" s="43" t="s">
        <v>37</v>
      </c>
      <c r="I17" s="43" t="s">
        <v>41</v>
      </c>
      <c r="J17" s="43" t="s">
        <v>41</v>
      </c>
      <c r="K17" s="43" t="s">
        <v>41</v>
      </c>
      <c r="L17" s="43" t="s">
        <v>41</v>
      </c>
      <c r="M17" s="43" t="s">
        <v>41</v>
      </c>
      <c r="N17" s="43" t="s">
        <v>41</v>
      </c>
      <c r="O17" s="43" t="s">
        <v>41</v>
      </c>
      <c r="P17" s="43" t="s">
        <v>41</v>
      </c>
      <c r="Q17" s="43" t="s">
        <v>41</v>
      </c>
      <c r="R17" s="43" t="s">
        <v>58</v>
      </c>
      <c r="S17" s="46" t="s">
        <v>58</v>
      </c>
      <c r="T17" s="45" t="s">
        <v>25</v>
      </c>
      <c r="U17" s="43" t="s">
        <v>32</v>
      </c>
      <c r="V17" s="43" t="s">
        <v>37</v>
      </c>
      <c r="W17" s="46" t="s">
        <v>41</v>
      </c>
      <c r="X17" s="47" t="s">
        <v>32</v>
      </c>
      <c r="Y17" s="43" t="s">
        <v>32</v>
      </c>
      <c r="Z17" s="43" t="s">
        <v>32</v>
      </c>
      <c r="AA17" s="43" t="s">
        <v>32</v>
      </c>
      <c r="AB17" s="43" t="s">
        <v>32</v>
      </c>
      <c r="AC17" s="43" t="s">
        <v>32</v>
      </c>
      <c r="AD17" s="43" t="s">
        <v>37</v>
      </c>
      <c r="AE17" s="43" t="s">
        <v>41</v>
      </c>
      <c r="AF17" s="43" t="s">
        <v>41</v>
      </c>
      <c r="AG17" s="43" t="s">
        <v>41</v>
      </c>
      <c r="AH17" s="43" t="s">
        <v>41</v>
      </c>
      <c r="AI17" s="43" t="s">
        <v>41</v>
      </c>
      <c r="AJ17" s="46" t="s">
        <v>41</v>
      </c>
      <c r="AK17" s="43"/>
      <c r="AL17" s="43" t="s">
        <v>32</v>
      </c>
      <c r="AM17" s="43" t="s">
        <v>32</v>
      </c>
      <c r="AN17" s="43" t="s">
        <v>37</v>
      </c>
      <c r="AO17" s="43" t="s">
        <v>41</v>
      </c>
      <c r="AP17" s="43" t="s">
        <v>41</v>
      </c>
      <c r="AQ17" s="43" t="s">
        <v>41</v>
      </c>
      <c r="AR17" s="46" t="s">
        <v>41</v>
      </c>
      <c r="AS17" s="43"/>
      <c r="AT17" s="43" t="s">
        <v>32</v>
      </c>
      <c r="AU17" s="43" t="s">
        <v>32</v>
      </c>
      <c r="AV17" s="43" t="s">
        <v>32</v>
      </c>
      <c r="AW17" s="46" t="s">
        <v>37</v>
      </c>
    </row>
    <row r="18" spans="1:49" ht="28.8" customHeight="1">
      <c r="A18" s="43" t="s">
        <v>84</v>
      </c>
      <c r="B18" s="44" t="s">
        <v>24</v>
      </c>
      <c r="C18" s="45" t="s">
        <v>28</v>
      </c>
      <c r="D18" s="43" t="s">
        <v>31</v>
      </c>
      <c r="E18" s="43" t="s">
        <v>44</v>
      </c>
      <c r="F18" s="43" t="s">
        <v>48</v>
      </c>
      <c r="G18" s="43" t="s">
        <v>65</v>
      </c>
      <c r="H18" s="43" t="s">
        <v>36</v>
      </c>
      <c r="I18" s="43" t="s">
        <v>40</v>
      </c>
      <c r="J18" s="43" t="s">
        <v>43</v>
      </c>
      <c r="K18" s="43" t="s">
        <v>46</v>
      </c>
      <c r="L18" s="43" t="s">
        <v>52</v>
      </c>
      <c r="M18" s="43" t="s">
        <v>60</v>
      </c>
      <c r="N18" s="43" t="s">
        <v>62</v>
      </c>
      <c r="O18" s="43" t="s">
        <v>64</v>
      </c>
      <c r="P18" s="43" t="s">
        <v>68</v>
      </c>
      <c r="Q18" s="43" t="s">
        <v>70</v>
      </c>
      <c r="R18" s="43" t="s">
        <v>57</v>
      </c>
      <c r="S18" s="46" t="s">
        <v>59</v>
      </c>
      <c r="T18" s="45" t="s">
        <v>72</v>
      </c>
      <c r="U18" s="43" t="s">
        <v>82</v>
      </c>
      <c r="V18" s="43" t="s">
        <v>80</v>
      </c>
      <c r="W18" s="46" t="s">
        <v>77</v>
      </c>
      <c r="X18" s="47" t="s">
        <v>97</v>
      </c>
      <c r="Y18" s="43" t="s">
        <v>98</v>
      </c>
      <c r="Z18" s="43" t="s">
        <v>99</v>
      </c>
      <c r="AA18" s="43" t="s">
        <v>100</v>
      </c>
      <c r="AB18" s="43" t="s">
        <v>101</v>
      </c>
      <c r="AC18" s="43" t="s">
        <v>102</v>
      </c>
      <c r="AD18" s="43" t="s">
        <v>103</v>
      </c>
      <c r="AE18" s="43" t="s">
        <v>104</v>
      </c>
      <c r="AF18" s="43" t="s">
        <v>105</v>
      </c>
      <c r="AG18" s="43" t="s">
        <v>106</v>
      </c>
      <c r="AH18" s="43" t="s">
        <v>107</v>
      </c>
      <c r="AI18" s="43" t="s">
        <v>108</v>
      </c>
      <c r="AJ18" s="46" t="s">
        <v>109</v>
      </c>
      <c r="AK18" s="43"/>
      <c r="AL18" s="43" t="s">
        <v>110</v>
      </c>
      <c r="AM18" s="43" t="s">
        <v>111</v>
      </c>
      <c r="AN18" s="43" t="s">
        <v>112</v>
      </c>
      <c r="AO18" s="43" t="s">
        <v>113</v>
      </c>
      <c r="AP18" s="43" t="s">
        <v>114</v>
      </c>
      <c r="AQ18" s="43" t="s">
        <v>115</v>
      </c>
      <c r="AR18" s="46" t="s">
        <v>116</v>
      </c>
      <c r="AS18" s="43"/>
      <c r="AT18" s="43" t="s">
        <v>117</v>
      </c>
      <c r="AU18" s="43" t="s">
        <v>118</v>
      </c>
      <c r="AV18" s="43" t="s">
        <v>119</v>
      </c>
      <c r="AW18" s="46" t="s">
        <v>120</v>
      </c>
    </row>
    <row r="19" spans="1:49" ht="42" customHeight="1">
      <c r="A19" s="43" t="s">
        <v>164</v>
      </c>
      <c r="B19" s="44" t="str">
        <f t="shared" ref="B19:AW19" si="3">B17 &amp;" "&amp;B18</f>
        <v>Sea Hawk Sharkskin antifouling paint</v>
      </c>
      <c r="C19" s="44" t="str">
        <f t="shared" si="3"/>
        <v>Sea Hawk Tropikote (premium)</v>
      </c>
      <c r="D19" s="44" t="str">
        <f t="shared" si="3"/>
        <v>Interlux Fiberglass Bottombote NT</v>
      </c>
      <c r="E19" s="44" t="str">
        <f t="shared" si="3"/>
        <v>Interlux Fiberglass Bottomkote Aqua</v>
      </c>
      <c r="F19" s="44" t="str">
        <f t="shared" si="3"/>
        <v>Interlux Ultra with Biolux</v>
      </c>
      <c r="G19" s="44" t="str">
        <f t="shared" si="3"/>
        <v>Interlux Fiberglass Bottomkote Racing Bronze</v>
      </c>
      <c r="H19" s="44" t="str">
        <f t="shared" si="3"/>
        <v>West Marine BottomShield with CCT</v>
      </c>
      <c r="I19" s="44" t="str">
        <f t="shared" si="3"/>
        <v>Pettit Unepoxy Standard</v>
      </c>
      <c r="J19" s="44" t="str">
        <f t="shared" si="3"/>
        <v>Pettit Unepoxy Plus</v>
      </c>
      <c r="K19" s="44" t="str">
        <f t="shared" si="3"/>
        <v>Pettit Copper Bronze Antifouling</v>
      </c>
      <c r="L19" s="44" t="str">
        <f t="shared" si="3"/>
        <v>Pettit Black Widow (fastest racing paint)</v>
      </c>
      <c r="M19" s="44" t="str">
        <f t="shared" si="3"/>
        <v>Pettit Trinidad SR</v>
      </c>
      <c r="N19" s="44" t="str">
        <f t="shared" si="3"/>
        <v>Pettit Trinidad 75</v>
      </c>
      <c r="O19" s="44" t="str">
        <f t="shared" si="3"/>
        <v>Pettit Trinidad Pro</v>
      </c>
      <c r="P19" s="44" t="str">
        <f t="shared" si="3"/>
        <v>Pettit Neptune5 Hard Hybrid Thin Film</v>
      </c>
      <c r="Q19" s="44" t="str">
        <f t="shared" si="3"/>
        <v>Pettit Trinidad VOC</v>
      </c>
      <c r="R19" s="44" t="str">
        <f t="shared" si="3"/>
        <v>Z-Spar The Protector</v>
      </c>
      <c r="S19" s="44" t="str">
        <f t="shared" si="3"/>
        <v>Z-Spar BottomPro</v>
      </c>
      <c r="T19" s="44" t="str">
        <f t="shared" si="3"/>
        <v>Sea Hawk Biocop TF Antifouling Paint</v>
      </c>
      <c r="U19" s="44" t="str">
        <f t="shared" si="3"/>
        <v>Interlux ACT</v>
      </c>
      <c r="V19" s="44" t="str">
        <f t="shared" si="3"/>
        <v>West Marine CPP</v>
      </c>
      <c r="W19" s="44" t="str">
        <f t="shared" si="3"/>
        <v>Pettit Ultima SSA</v>
      </c>
      <c r="X19" s="44" t="str">
        <f t="shared" si="3"/>
        <v>Interlux Micron CSC</v>
      </c>
      <c r="Y19" s="44" t="str">
        <f t="shared" si="3"/>
        <v>Interlux Trilux 33</v>
      </c>
      <c r="Z19" s="44" t="str">
        <f t="shared" si="3"/>
        <v>Interlux Micron Extra with Biolux</v>
      </c>
      <c r="AA19" s="44" t="str">
        <f t="shared" si="3"/>
        <v>Interlux Micron 66</v>
      </c>
      <c r="AB19" s="44" t="str">
        <f t="shared" si="3"/>
        <v>Interlux Micron CSC HS</v>
      </c>
      <c r="AC19" s="44" t="str">
        <f t="shared" si="3"/>
        <v>Interlux Aqua-One Performance Ablative</v>
      </c>
      <c r="AD19" s="44" t="str">
        <f t="shared" si="3"/>
        <v>West Marine PCA Gold</v>
      </c>
      <c r="AE19" s="44" t="str">
        <f t="shared" si="3"/>
        <v>Pettit Hydrocoat</v>
      </c>
      <c r="AF19" s="44" t="str">
        <f t="shared" si="3"/>
        <v>Pettit Horizons</v>
      </c>
      <c r="AG19" s="44" t="str">
        <f t="shared" si="3"/>
        <v>Pettit Hydrocoat SR</v>
      </c>
      <c r="AH19" s="44" t="str">
        <f t="shared" si="3"/>
        <v>Pettit Vivid Bright Colored Hybrid</v>
      </c>
      <c r="AI19" s="44" t="str">
        <f t="shared" si="3"/>
        <v>Pettit Ultima SR40</v>
      </c>
      <c r="AJ19" s="44" t="str">
        <f t="shared" si="3"/>
        <v>Pettit Ultima SR60</v>
      </c>
      <c r="AK19" s="44" t="str">
        <f t="shared" si="3"/>
        <v xml:space="preserve"> </v>
      </c>
      <c r="AL19" s="44" t="str">
        <f t="shared" si="3"/>
        <v>Interlux Pacifica Plus</v>
      </c>
      <c r="AM19" s="44" t="str">
        <f t="shared" si="3"/>
        <v>Interlux Micron CF</v>
      </c>
      <c r="AN19" s="44" t="str">
        <f t="shared" si="3"/>
        <v>West Marine CFA Eco Copper Free</v>
      </c>
      <c r="AO19" s="44" t="str">
        <f t="shared" si="3"/>
        <v>Pettit Ultima ECO</v>
      </c>
      <c r="AP19" s="44" t="str">
        <f t="shared" si="3"/>
        <v>Pettit Hydrocoat ECO</v>
      </c>
      <c r="AQ19" s="44" t="str">
        <f t="shared" si="3"/>
        <v>Pettit Pontoon Pro</v>
      </c>
      <c r="AR19" s="44" t="str">
        <f t="shared" si="3"/>
        <v>Pettit Old Salem Hard Racing Copper Bronze</v>
      </c>
      <c r="AS19" s="44" t="str">
        <f t="shared" si="3"/>
        <v xml:space="preserve"> </v>
      </c>
      <c r="AT19" s="44" t="str">
        <f t="shared" si="3"/>
        <v>Interlux VC 17m Extral with  Biolux</v>
      </c>
      <c r="AU19" s="44" t="str">
        <f t="shared" si="3"/>
        <v>Interlux VC Offshore Hard-Vinyl</v>
      </c>
      <c r="AV19" s="44" t="str">
        <f t="shared" si="3"/>
        <v>Interlux VC Offshore Regata Baltoplate (for serious racing)</v>
      </c>
      <c r="AW19" s="44" t="str">
        <f t="shared" si="3"/>
        <v>West Marine FW-21 Slick Coat Racing Paint</v>
      </c>
    </row>
    <row r="20" spans="1:49" ht="33" customHeight="1">
      <c r="A20" s="43" t="s">
        <v>86</v>
      </c>
      <c r="B20" s="44" t="s">
        <v>26</v>
      </c>
      <c r="C20" s="45" t="s">
        <v>29</v>
      </c>
      <c r="D20" s="43" t="s">
        <v>33</v>
      </c>
      <c r="E20" s="43" t="s">
        <v>45</v>
      </c>
      <c r="F20" s="43" t="s">
        <v>26</v>
      </c>
      <c r="G20" s="43" t="s">
        <v>66</v>
      </c>
      <c r="H20" s="45" t="s">
        <v>17</v>
      </c>
      <c r="I20" s="43" t="s">
        <v>26</v>
      </c>
      <c r="J20" s="45" t="s">
        <v>17</v>
      </c>
      <c r="K20" s="43" t="s">
        <v>26</v>
      </c>
      <c r="L20" s="43" t="s">
        <v>53</v>
      </c>
      <c r="M20" s="43" t="s">
        <v>26</v>
      </c>
      <c r="N20" s="43" t="s">
        <v>26</v>
      </c>
      <c r="O20" s="43" t="s">
        <v>26</v>
      </c>
      <c r="P20" s="43" t="s">
        <v>69</v>
      </c>
      <c r="Q20" s="43" t="s">
        <v>26</v>
      </c>
      <c r="R20" s="43" t="s">
        <v>26</v>
      </c>
      <c r="S20" s="48" t="s">
        <v>17</v>
      </c>
      <c r="T20" s="45" t="s">
        <v>73</v>
      </c>
      <c r="U20" s="43" t="s">
        <v>78</v>
      </c>
      <c r="V20" s="43" t="s">
        <v>78</v>
      </c>
      <c r="W20" s="46" t="s">
        <v>78</v>
      </c>
      <c r="X20" s="47" t="s">
        <v>121</v>
      </c>
      <c r="Y20" s="43" t="s">
        <v>122</v>
      </c>
      <c r="Z20" s="43" t="s">
        <v>121</v>
      </c>
      <c r="AA20" s="43" t="s">
        <v>121</v>
      </c>
      <c r="AB20" s="43" t="s">
        <v>121</v>
      </c>
      <c r="AC20" s="43" t="s">
        <v>123</v>
      </c>
      <c r="AD20" s="43" t="s">
        <v>121</v>
      </c>
      <c r="AE20" s="43" t="s">
        <v>124</v>
      </c>
      <c r="AF20" s="43" t="s">
        <v>121</v>
      </c>
      <c r="AG20" s="43" t="s">
        <v>125</v>
      </c>
      <c r="AH20" s="43" t="s">
        <v>126</v>
      </c>
      <c r="AI20" s="43" t="s">
        <v>121</v>
      </c>
      <c r="AJ20" s="46" t="s">
        <v>121</v>
      </c>
      <c r="AK20" s="43"/>
      <c r="AL20" s="43" t="s">
        <v>73</v>
      </c>
      <c r="AM20" s="43" t="s">
        <v>127</v>
      </c>
      <c r="AN20" s="43" t="s">
        <v>128</v>
      </c>
      <c r="AO20" s="43" t="s">
        <v>73</v>
      </c>
      <c r="AP20" s="43" t="s">
        <v>129</v>
      </c>
      <c r="AQ20" s="43" t="s">
        <v>130</v>
      </c>
      <c r="AR20" s="46" t="s">
        <v>131</v>
      </c>
      <c r="AS20" s="43"/>
      <c r="AT20" s="43" t="s">
        <v>132</v>
      </c>
      <c r="AU20" s="43" t="s">
        <v>133</v>
      </c>
      <c r="AV20" s="43" t="s">
        <v>132</v>
      </c>
      <c r="AW20" s="46" t="s">
        <v>134</v>
      </c>
    </row>
    <row r="21" spans="1:49" ht="19.2" customHeight="1">
      <c r="A21" s="43" t="s">
        <v>20</v>
      </c>
      <c r="B21" s="44" t="s">
        <v>27</v>
      </c>
      <c r="C21" s="45" t="s">
        <v>27</v>
      </c>
      <c r="D21" s="43" t="s">
        <v>27</v>
      </c>
      <c r="E21" s="43" t="s">
        <v>27</v>
      </c>
      <c r="F21" s="43" t="s">
        <v>27</v>
      </c>
      <c r="G21" s="43" t="s">
        <v>27</v>
      </c>
      <c r="H21" s="45" t="s">
        <v>17</v>
      </c>
      <c r="I21" s="45" t="s">
        <v>17</v>
      </c>
      <c r="J21" s="45" t="s">
        <v>17</v>
      </c>
      <c r="K21" s="43" t="s">
        <v>27</v>
      </c>
      <c r="L21" s="43" t="s">
        <v>54</v>
      </c>
      <c r="M21" s="43" t="s">
        <v>27</v>
      </c>
      <c r="N21" s="43" t="s">
        <v>27</v>
      </c>
      <c r="O21" s="43" t="s">
        <v>27</v>
      </c>
      <c r="P21" s="43" t="s">
        <v>27</v>
      </c>
      <c r="Q21" s="43" t="s">
        <v>27</v>
      </c>
      <c r="R21" s="43" t="s">
        <v>27</v>
      </c>
      <c r="S21" s="48" t="s">
        <v>17</v>
      </c>
      <c r="T21" s="45" t="s">
        <v>74</v>
      </c>
      <c r="U21" s="43" t="s">
        <v>27</v>
      </c>
      <c r="V21" s="43" t="s">
        <v>27</v>
      </c>
      <c r="W21" s="46" t="s">
        <v>27</v>
      </c>
      <c r="X21" s="47" t="s">
        <v>27</v>
      </c>
      <c r="Y21" s="43" t="s">
        <v>135</v>
      </c>
      <c r="Z21" s="43" t="s">
        <v>27</v>
      </c>
      <c r="AA21" s="43" t="s">
        <v>27</v>
      </c>
      <c r="AB21" s="43" t="s">
        <v>27</v>
      </c>
      <c r="AC21" s="43" t="s">
        <v>27</v>
      </c>
      <c r="AD21" s="43" t="s">
        <v>27</v>
      </c>
      <c r="AE21" s="43" t="s">
        <v>27</v>
      </c>
      <c r="AF21" s="43" t="s">
        <v>27</v>
      </c>
      <c r="AG21" s="43" t="s">
        <v>27</v>
      </c>
      <c r="AH21" s="43" t="s">
        <v>135</v>
      </c>
      <c r="AI21" s="43" t="s">
        <v>27</v>
      </c>
      <c r="AJ21" s="46" t="s">
        <v>27</v>
      </c>
      <c r="AK21" s="43"/>
      <c r="AL21" s="43" t="s">
        <v>136</v>
      </c>
      <c r="AM21" s="43" t="s">
        <v>136</v>
      </c>
      <c r="AN21" s="43" t="s">
        <v>136</v>
      </c>
      <c r="AO21" s="43" t="s">
        <v>136</v>
      </c>
      <c r="AP21" s="43" t="s">
        <v>136</v>
      </c>
      <c r="AQ21" s="43" t="s">
        <v>136</v>
      </c>
      <c r="AR21" s="46" t="s">
        <v>34</v>
      </c>
      <c r="AS21" s="43"/>
      <c r="AT21" s="43" t="s">
        <v>27</v>
      </c>
      <c r="AU21" s="43" t="s">
        <v>27</v>
      </c>
      <c r="AV21" s="43" t="s">
        <v>27</v>
      </c>
      <c r="AW21" s="46" t="s">
        <v>27</v>
      </c>
    </row>
    <row r="22" spans="1:49" ht="19.2" customHeight="1">
      <c r="A22" s="43" t="s">
        <v>21</v>
      </c>
      <c r="B22" s="44">
        <v>42</v>
      </c>
      <c r="C22" s="45">
        <v>75</v>
      </c>
      <c r="D22" s="43">
        <v>25</v>
      </c>
      <c r="E22" s="43">
        <v>46.45</v>
      </c>
      <c r="F22" s="43">
        <v>55</v>
      </c>
      <c r="G22" s="43">
        <v>25</v>
      </c>
      <c r="H22" s="43">
        <v>28</v>
      </c>
      <c r="I22" s="43">
        <v>33.26</v>
      </c>
      <c r="J22" s="43">
        <v>47.5</v>
      </c>
      <c r="K22" s="43">
        <v>33.200000000000003</v>
      </c>
      <c r="L22" s="45" t="s">
        <v>17</v>
      </c>
      <c r="M22" s="43">
        <v>60</v>
      </c>
      <c r="N22" s="49">
        <v>0.60899999999999999</v>
      </c>
      <c r="O22" s="43">
        <v>60</v>
      </c>
      <c r="P22" s="43">
        <v>25</v>
      </c>
      <c r="Q22" s="43">
        <v>53.3</v>
      </c>
      <c r="R22" s="43">
        <v>53.3</v>
      </c>
      <c r="S22" s="48" t="s">
        <v>17</v>
      </c>
      <c r="T22" s="45" t="s">
        <v>75</v>
      </c>
      <c r="U22" s="43">
        <v>29</v>
      </c>
      <c r="V22" s="43">
        <v>23.7</v>
      </c>
      <c r="W22" s="46">
        <v>37.5</v>
      </c>
      <c r="X22" s="47">
        <v>37.200000000000003</v>
      </c>
      <c r="Y22" s="43">
        <v>16.95</v>
      </c>
      <c r="Z22" s="43">
        <v>39</v>
      </c>
      <c r="AA22" s="43">
        <v>40</v>
      </c>
      <c r="AB22" s="43">
        <v>33.4</v>
      </c>
      <c r="AC22" s="43">
        <v>65</v>
      </c>
      <c r="AD22" s="43">
        <v>40</v>
      </c>
      <c r="AE22" s="43">
        <v>40</v>
      </c>
      <c r="AF22" s="43">
        <v>40.5</v>
      </c>
      <c r="AG22" s="43">
        <v>40</v>
      </c>
      <c r="AH22" s="43">
        <v>25</v>
      </c>
      <c r="AI22" s="43">
        <v>40</v>
      </c>
      <c r="AJ22" s="46">
        <v>60</v>
      </c>
      <c r="AK22" s="43"/>
      <c r="AL22" s="43">
        <v>3.9</v>
      </c>
      <c r="AM22" s="43">
        <v>3.9</v>
      </c>
      <c r="AN22" s="43">
        <v>6</v>
      </c>
      <c r="AO22" s="43">
        <v>6</v>
      </c>
      <c r="AP22" s="43">
        <v>6</v>
      </c>
      <c r="AQ22" s="43">
        <v>6</v>
      </c>
      <c r="AR22" s="46" t="s">
        <v>34</v>
      </c>
      <c r="AS22" s="43"/>
      <c r="AT22" s="43">
        <v>20.350000000000001</v>
      </c>
      <c r="AU22" s="43">
        <v>42</v>
      </c>
      <c r="AV22" s="43" t="s">
        <v>137</v>
      </c>
      <c r="AW22" s="46">
        <v>21</v>
      </c>
    </row>
    <row r="23" spans="1:49" ht="19.2" customHeight="1">
      <c r="A23" s="43" t="s">
        <v>87</v>
      </c>
      <c r="B23" s="44" t="s">
        <v>17</v>
      </c>
      <c r="C23" s="45" t="s">
        <v>17</v>
      </c>
      <c r="D23" s="43" t="s">
        <v>34</v>
      </c>
      <c r="E23" s="45" t="s">
        <v>17</v>
      </c>
      <c r="F23" s="43" t="s">
        <v>50</v>
      </c>
      <c r="G23" s="43" t="s">
        <v>34</v>
      </c>
      <c r="H23" s="45" t="s">
        <v>17</v>
      </c>
      <c r="I23" s="45" t="s">
        <v>17</v>
      </c>
      <c r="J23" s="45" t="s">
        <v>17</v>
      </c>
      <c r="K23" s="45" t="s">
        <v>17</v>
      </c>
      <c r="L23" s="45" t="s">
        <v>17</v>
      </c>
      <c r="M23" s="43" t="s">
        <v>61</v>
      </c>
      <c r="N23" s="43" t="s">
        <v>34</v>
      </c>
      <c r="O23" s="43" t="s">
        <v>61</v>
      </c>
      <c r="P23" s="43" t="s">
        <v>34</v>
      </c>
      <c r="Q23" s="43" t="s">
        <v>34</v>
      </c>
      <c r="R23" s="43" t="s">
        <v>34</v>
      </c>
      <c r="S23" s="48" t="s">
        <v>17</v>
      </c>
      <c r="T23" s="45">
        <v>0</v>
      </c>
      <c r="U23" s="43" t="s">
        <v>61</v>
      </c>
      <c r="V23" s="43" t="s">
        <v>34</v>
      </c>
      <c r="W23" s="46" t="s">
        <v>34</v>
      </c>
      <c r="X23" s="47" t="s">
        <v>34</v>
      </c>
      <c r="Y23" s="43" t="s">
        <v>50</v>
      </c>
      <c r="Z23" s="43" t="s">
        <v>50</v>
      </c>
      <c r="AA23" s="43" t="s">
        <v>50</v>
      </c>
      <c r="AB23" s="43" t="s">
        <v>34</v>
      </c>
      <c r="AC23" s="45" t="s">
        <v>17</v>
      </c>
      <c r="AD23" s="43" t="s">
        <v>61</v>
      </c>
      <c r="AE23" s="43" t="s">
        <v>138</v>
      </c>
      <c r="AF23" s="43" t="s">
        <v>34</v>
      </c>
      <c r="AG23" s="43" t="s">
        <v>61</v>
      </c>
      <c r="AH23" s="43" t="s">
        <v>139</v>
      </c>
      <c r="AI23" s="43" t="s">
        <v>61</v>
      </c>
      <c r="AJ23" s="46" t="s">
        <v>61</v>
      </c>
      <c r="AK23" s="43"/>
      <c r="AL23" s="43" t="s">
        <v>50</v>
      </c>
      <c r="AM23" s="43" t="s">
        <v>50</v>
      </c>
      <c r="AN23" s="43" t="s">
        <v>140</v>
      </c>
      <c r="AO23" s="43" t="s">
        <v>139</v>
      </c>
      <c r="AP23" s="43" t="s">
        <v>141</v>
      </c>
      <c r="AQ23" s="43" t="s">
        <v>141</v>
      </c>
      <c r="AR23" s="46" t="s">
        <v>34</v>
      </c>
      <c r="AS23" s="43"/>
      <c r="AT23" s="43" t="s">
        <v>50</v>
      </c>
      <c r="AU23" s="43" t="s">
        <v>34</v>
      </c>
      <c r="AV23" s="45" t="s">
        <v>17</v>
      </c>
      <c r="AW23" s="46" t="s">
        <v>142</v>
      </c>
    </row>
    <row r="24" spans="1:49" ht="19.2" customHeight="1">
      <c r="A24" s="43" t="s">
        <v>89</v>
      </c>
      <c r="B24" s="44">
        <v>320</v>
      </c>
      <c r="C24" s="45">
        <v>320</v>
      </c>
      <c r="D24" s="43">
        <v>400</v>
      </c>
      <c r="E24" s="43">
        <v>407</v>
      </c>
      <c r="F24" s="43">
        <v>475</v>
      </c>
      <c r="G24" s="43">
        <v>400</v>
      </c>
      <c r="H24" s="43">
        <v>400</v>
      </c>
      <c r="I24" s="43">
        <v>400</v>
      </c>
      <c r="J24" s="43">
        <v>400</v>
      </c>
      <c r="K24" s="45" t="s">
        <v>17</v>
      </c>
      <c r="L24" s="43">
        <v>440</v>
      </c>
      <c r="M24" s="43">
        <v>400</v>
      </c>
      <c r="N24" s="43">
        <v>400</v>
      </c>
      <c r="O24" s="43">
        <v>400</v>
      </c>
      <c r="P24" s="43">
        <v>500</v>
      </c>
      <c r="Q24" s="43">
        <v>400</v>
      </c>
      <c r="R24" s="43">
        <v>400</v>
      </c>
      <c r="S24" s="48" t="s">
        <v>17</v>
      </c>
      <c r="T24" s="45">
        <v>315</v>
      </c>
      <c r="U24" s="43">
        <v>455</v>
      </c>
      <c r="V24" s="43">
        <v>300</v>
      </c>
      <c r="W24" s="46">
        <v>500</v>
      </c>
      <c r="X24" s="47">
        <v>440</v>
      </c>
      <c r="Y24" s="43">
        <v>443</v>
      </c>
      <c r="Z24" s="43">
        <v>440</v>
      </c>
      <c r="AA24" s="43">
        <v>320</v>
      </c>
      <c r="AB24" s="43">
        <v>330</v>
      </c>
      <c r="AC24" s="43">
        <v>375</v>
      </c>
      <c r="AD24" s="43">
        <v>400</v>
      </c>
      <c r="AE24" s="43">
        <v>400</v>
      </c>
      <c r="AF24" s="43">
        <v>400</v>
      </c>
      <c r="AG24" s="43">
        <v>400</v>
      </c>
      <c r="AH24" s="43">
        <v>440</v>
      </c>
      <c r="AI24" s="43">
        <v>450</v>
      </c>
      <c r="AJ24" s="46">
        <v>400</v>
      </c>
      <c r="AK24" s="43"/>
      <c r="AL24" s="43">
        <v>528</v>
      </c>
      <c r="AM24" s="43">
        <v>518</v>
      </c>
      <c r="AN24" s="43">
        <v>400</v>
      </c>
      <c r="AO24" s="43">
        <v>500</v>
      </c>
      <c r="AP24" s="43">
        <v>400</v>
      </c>
      <c r="AQ24" s="43">
        <v>500</v>
      </c>
      <c r="AR24" s="46">
        <v>800</v>
      </c>
      <c r="AS24" s="43"/>
      <c r="AT24" s="43">
        <v>85</v>
      </c>
      <c r="AU24" s="43">
        <v>350</v>
      </c>
      <c r="AV24" s="43">
        <v>300</v>
      </c>
      <c r="AW24" s="46">
        <v>80</v>
      </c>
    </row>
    <row r="25" spans="1:49" ht="19.2" customHeight="1">
      <c r="A25" s="45" t="s">
        <v>88</v>
      </c>
      <c r="B25" s="44">
        <v>2</v>
      </c>
      <c r="C25" s="45">
        <v>2</v>
      </c>
      <c r="D25" s="45" t="s">
        <v>35</v>
      </c>
      <c r="E25" s="45" t="s">
        <v>35</v>
      </c>
      <c r="F25" s="45">
        <v>2</v>
      </c>
      <c r="G25" s="45" t="s">
        <v>67</v>
      </c>
      <c r="H25" s="45">
        <v>2</v>
      </c>
      <c r="I25" s="45">
        <v>2</v>
      </c>
      <c r="J25" s="45" t="s">
        <v>17</v>
      </c>
      <c r="K25" s="45" t="s">
        <v>17</v>
      </c>
      <c r="L25" s="45" t="s">
        <v>17</v>
      </c>
      <c r="M25" s="45">
        <v>2</v>
      </c>
      <c r="N25" s="45">
        <v>2</v>
      </c>
      <c r="O25" s="45">
        <v>2</v>
      </c>
      <c r="P25" s="45">
        <v>2</v>
      </c>
      <c r="Q25" s="45">
        <v>2</v>
      </c>
      <c r="R25" s="45">
        <v>2</v>
      </c>
      <c r="S25" s="48" t="s">
        <v>17</v>
      </c>
      <c r="T25" s="45" t="s">
        <v>76</v>
      </c>
      <c r="U25" s="45" t="s">
        <v>35</v>
      </c>
      <c r="V25" s="45" t="s">
        <v>35</v>
      </c>
      <c r="W25" s="48" t="s">
        <v>35</v>
      </c>
      <c r="X25" s="50" t="s">
        <v>35</v>
      </c>
      <c r="Y25" s="45" t="s">
        <v>35</v>
      </c>
      <c r="Z25" s="45" t="s">
        <v>35</v>
      </c>
      <c r="AA25" s="45" t="s">
        <v>35</v>
      </c>
      <c r="AB25" s="45" t="s">
        <v>35</v>
      </c>
      <c r="AC25" s="45" t="s">
        <v>17</v>
      </c>
      <c r="AD25" s="45" t="s">
        <v>35</v>
      </c>
      <c r="AE25" s="45" t="s">
        <v>35</v>
      </c>
      <c r="AF25" s="45" t="s">
        <v>35</v>
      </c>
      <c r="AG25" s="45" t="s">
        <v>35</v>
      </c>
      <c r="AH25" s="45" t="s">
        <v>35</v>
      </c>
      <c r="AI25" s="45" t="s">
        <v>35</v>
      </c>
      <c r="AJ25" s="48" t="s">
        <v>35</v>
      </c>
      <c r="AK25" s="45"/>
      <c r="AL25" s="45">
        <v>2</v>
      </c>
      <c r="AM25" s="45">
        <v>2</v>
      </c>
      <c r="AN25" s="45" t="s">
        <v>35</v>
      </c>
      <c r="AO25" s="45" t="s">
        <v>35</v>
      </c>
      <c r="AP25" s="45" t="s">
        <v>35</v>
      </c>
      <c r="AQ25" s="45" t="s">
        <v>35</v>
      </c>
      <c r="AR25" s="48">
        <v>2</v>
      </c>
      <c r="AS25" s="45"/>
      <c r="AT25" s="45" t="s">
        <v>35</v>
      </c>
      <c r="AU25" s="45" t="s">
        <v>143</v>
      </c>
      <c r="AV25" s="45" t="s">
        <v>17</v>
      </c>
      <c r="AW25" s="48">
        <v>3</v>
      </c>
    </row>
    <row r="26" spans="1:49" ht="19.2" customHeight="1">
      <c r="A26" s="51" t="s">
        <v>88</v>
      </c>
      <c r="B26" s="52">
        <v>2</v>
      </c>
      <c r="C26" s="51">
        <v>2</v>
      </c>
      <c r="D26" s="51">
        <v>2</v>
      </c>
      <c r="E26" s="51">
        <v>2</v>
      </c>
      <c r="F26" s="51">
        <v>2</v>
      </c>
      <c r="G26" s="51">
        <v>2</v>
      </c>
      <c r="H26" s="51">
        <v>2</v>
      </c>
      <c r="I26" s="51">
        <v>2</v>
      </c>
      <c r="J26" s="51">
        <v>2</v>
      </c>
      <c r="K26" s="51">
        <v>2</v>
      </c>
      <c r="L26" s="51">
        <v>2</v>
      </c>
      <c r="M26" s="51">
        <v>2</v>
      </c>
      <c r="N26" s="51">
        <v>2</v>
      </c>
      <c r="O26" s="51">
        <v>2</v>
      </c>
      <c r="P26" s="51">
        <v>2</v>
      </c>
      <c r="Q26" s="51">
        <v>2</v>
      </c>
      <c r="R26" s="51">
        <v>2</v>
      </c>
      <c r="S26" s="53">
        <v>2</v>
      </c>
      <c r="T26" s="51">
        <v>2</v>
      </c>
      <c r="U26" s="51">
        <v>2</v>
      </c>
      <c r="V26" s="51">
        <v>2</v>
      </c>
      <c r="W26" s="53">
        <v>2</v>
      </c>
      <c r="X26" s="51">
        <v>2</v>
      </c>
      <c r="Y26" s="51">
        <v>2</v>
      </c>
      <c r="Z26" s="51">
        <v>2</v>
      </c>
      <c r="AA26" s="51">
        <v>2</v>
      </c>
      <c r="AB26" s="51">
        <v>2</v>
      </c>
      <c r="AC26" s="51">
        <v>2</v>
      </c>
      <c r="AD26" s="51">
        <v>2</v>
      </c>
      <c r="AE26" s="51">
        <v>2</v>
      </c>
      <c r="AF26" s="51">
        <v>2</v>
      </c>
      <c r="AG26" s="51">
        <v>2</v>
      </c>
      <c r="AH26" s="51">
        <v>2</v>
      </c>
      <c r="AI26" s="51">
        <v>2</v>
      </c>
      <c r="AJ26" s="53">
        <v>2</v>
      </c>
      <c r="AK26" s="51"/>
      <c r="AL26" s="51">
        <v>2</v>
      </c>
      <c r="AM26" s="51">
        <v>2</v>
      </c>
      <c r="AN26" s="51">
        <v>2</v>
      </c>
      <c r="AO26" s="51">
        <v>2</v>
      </c>
      <c r="AP26" s="51">
        <v>2</v>
      </c>
      <c r="AQ26" s="51">
        <v>2</v>
      </c>
      <c r="AR26" s="53">
        <v>2</v>
      </c>
      <c r="AS26" s="51"/>
      <c r="AT26" s="51">
        <v>2</v>
      </c>
      <c r="AU26" s="51">
        <v>2</v>
      </c>
      <c r="AV26" s="51">
        <v>2</v>
      </c>
      <c r="AW26" s="53">
        <v>2</v>
      </c>
    </row>
    <row r="27" spans="1:49" ht="19.2" customHeight="1">
      <c r="A27" s="43" t="s">
        <v>90</v>
      </c>
      <c r="B27" s="44">
        <v>2</v>
      </c>
      <c r="C27" s="45">
        <v>2</v>
      </c>
      <c r="D27" s="43">
        <v>2</v>
      </c>
      <c r="E27" s="43">
        <v>4</v>
      </c>
      <c r="F27" s="43" t="s">
        <v>51</v>
      </c>
      <c r="G27" s="43">
        <v>2</v>
      </c>
      <c r="H27" s="43" t="s">
        <v>39</v>
      </c>
      <c r="I27" s="43">
        <v>4</v>
      </c>
      <c r="J27" s="43">
        <v>4</v>
      </c>
      <c r="K27" s="43">
        <v>2</v>
      </c>
      <c r="L27" s="43" t="s">
        <v>55</v>
      </c>
      <c r="M27" s="43" t="s">
        <v>39</v>
      </c>
      <c r="N27" s="43">
        <v>4</v>
      </c>
      <c r="O27" s="43">
        <v>4</v>
      </c>
      <c r="P27" s="43">
        <v>4</v>
      </c>
      <c r="Q27" s="43">
        <v>4</v>
      </c>
      <c r="R27" s="43">
        <v>4</v>
      </c>
      <c r="S27" s="48" t="s">
        <v>17</v>
      </c>
      <c r="T27" s="45">
        <v>12</v>
      </c>
      <c r="U27" s="43">
        <v>16</v>
      </c>
      <c r="V27" s="43" t="s">
        <v>81</v>
      </c>
      <c r="W27" s="46">
        <v>3</v>
      </c>
      <c r="X27" s="47">
        <v>16</v>
      </c>
      <c r="Y27" s="43">
        <v>6</v>
      </c>
      <c r="Z27" s="43">
        <v>16</v>
      </c>
      <c r="AA27" s="43">
        <v>6</v>
      </c>
      <c r="AB27" s="43">
        <v>6</v>
      </c>
      <c r="AC27" s="43" t="s">
        <v>153</v>
      </c>
      <c r="AD27" s="43">
        <v>6</v>
      </c>
      <c r="AE27" s="43">
        <v>3</v>
      </c>
      <c r="AF27" s="43">
        <v>6</v>
      </c>
      <c r="AG27" s="43">
        <v>2</v>
      </c>
      <c r="AH27" s="43">
        <v>4</v>
      </c>
      <c r="AI27" s="43">
        <v>6</v>
      </c>
      <c r="AJ27" s="46">
        <v>6</v>
      </c>
      <c r="AK27" s="43"/>
      <c r="AL27" s="43">
        <v>4</v>
      </c>
      <c r="AM27" s="43">
        <v>4</v>
      </c>
      <c r="AN27" s="43">
        <v>2</v>
      </c>
      <c r="AO27" s="43" t="s">
        <v>144</v>
      </c>
      <c r="AP27" s="43">
        <v>3</v>
      </c>
      <c r="AQ27" s="43">
        <v>3</v>
      </c>
      <c r="AR27" s="46">
        <v>16</v>
      </c>
      <c r="AS27" s="43"/>
      <c r="AT27" s="43" t="s">
        <v>145</v>
      </c>
      <c r="AU27" s="43" t="s">
        <v>146</v>
      </c>
      <c r="AV27" s="43" t="s">
        <v>154</v>
      </c>
      <c r="AW27" s="46" t="s">
        <v>145</v>
      </c>
    </row>
    <row r="28" spans="1:49" ht="24.6" customHeight="1">
      <c r="A28" s="43" t="s">
        <v>22</v>
      </c>
      <c r="B28" s="44">
        <v>12</v>
      </c>
      <c r="C28" s="45" t="s">
        <v>30</v>
      </c>
      <c r="D28" s="43">
        <v>90</v>
      </c>
      <c r="E28" s="43">
        <v>90</v>
      </c>
      <c r="F28" s="43">
        <v>60</v>
      </c>
      <c r="G28" s="43">
        <v>90</v>
      </c>
      <c r="H28" s="43">
        <v>60</v>
      </c>
      <c r="I28" s="43">
        <v>60</v>
      </c>
      <c r="J28" s="43">
        <v>60</v>
      </c>
      <c r="K28" s="43" t="s">
        <v>47</v>
      </c>
      <c r="L28" s="43" t="s">
        <v>56</v>
      </c>
      <c r="M28" s="43">
        <v>60</v>
      </c>
      <c r="N28" s="43">
        <v>60</v>
      </c>
      <c r="O28" s="43">
        <v>60</v>
      </c>
      <c r="P28" s="43">
        <v>64</v>
      </c>
      <c r="Q28" s="43">
        <v>40</v>
      </c>
      <c r="R28" s="43">
        <v>60</v>
      </c>
      <c r="S28" s="48" t="s">
        <v>17</v>
      </c>
      <c r="T28" s="45" t="s">
        <v>17</v>
      </c>
      <c r="U28" s="43">
        <v>60</v>
      </c>
      <c r="V28" s="43">
        <v>30</v>
      </c>
      <c r="W28" s="46" t="s">
        <v>79</v>
      </c>
      <c r="X28" s="47" t="s">
        <v>79</v>
      </c>
      <c r="Y28" s="43" t="s">
        <v>79</v>
      </c>
      <c r="Z28" s="43" t="s">
        <v>79</v>
      </c>
      <c r="AA28" s="43" t="s">
        <v>147</v>
      </c>
      <c r="AB28" s="43" t="s">
        <v>79</v>
      </c>
      <c r="AC28" s="45" t="s">
        <v>17</v>
      </c>
      <c r="AD28" s="43" t="s">
        <v>79</v>
      </c>
      <c r="AE28" s="43" t="s">
        <v>79</v>
      </c>
      <c r="AF28" s="43" t="s">
        <v>148</v>
      </c>
      <c r="AG28" s="43" t="s">
        <v>79</v>
      </c>
      <c r="AH28" s="43" t="s">
        <v>79</v>
      </c>
      <c r="AI28" s="43" t="s">
        <v>79</v>
      </c>
      <c r="AJ28" s="46" t="s">
        <v>79</v>
      </c>
      <c r="AK28" s="43"/>
      <c r="AL28" s="43">
        <v>60</v>
      </c>
      <c r="AM28" s="43" t="s">
        <v>149</v>
      </c>
      <c r="AN28" s="43" t="s">
        <v>149</v>
      </c>
      <c r="AO28" s="43" t="s">
        <v>149</v>
      </c>
      <c r="AP28" s="43" t="s">
        <v>149</v>
      </c>
      <c r="AQ28" s="43" t="s">
        <v>149</v>
      </c>
      <c r="AR28" s="46" t="s">
        <v>49</v>
      </c>
      <c r="AS28" s="43"/>
      <c r="AT28" s="43" t="s">
        <v>149</v>
      </c>
      <c r="AU28" s="43">
        <v>30</v>
      </c>
      <c r="AV28" s="45" t="s">
        <v>17</v>
      </c>
      <c r="AW28" s="46" t="s">
        <v>149</v>
      </c>
    </row>
    <row r="29" spans="1:49" ht="30" customHeight="1">
      <c r="A29" s="45" t="s">
        <v>85</v>
      </c>
      <c r="B29" s="54">
        <v>184.99</v>
      </c>
      <c r="C29" s="55">
        <v>319.99</v>
      </c>
      <c r="D29" s="55">
        <v>139.99</v>
      </c>
      <c r="E29" s="55">
        <v>199.99</v>
      </c>
      <c r="F29" s="55" t="s">
        <v>49</v>
      </c>
      <c r="G29" s="55">
        <v>194.44</v>
      </c>
      <c r="H29" s="55" t="s">
        <v>38</v>
      </c>
      <c r="I29" s="55" t="s">
        <v>42</v>
      </c>
      <c r="J29" s="55">
        <v>249.99</v>
      </c>
      <c r="K29" s="55">
        <v>239.99</v>
      </c>
      <c r="L29" s="55">
        <v>339.99</v>
      </c>
      <c r="M29" s="55">
        <v>279.99</v>
      </c>
      <c r="N29" s="55" t="s">
        <v>63</v>
      </c>
      <c r="O29" s="55">
        <v>389.99</v>
      </c>
      <c r="P29" s="55">
        <v>139.99</v>
      </c>
      <c r="Q29" s="55" t="s">
        <v>49</v>
      </c>
      <c r="R29" s="55">
        <v>279.99</v>
      </c>
      <c r="S29" s="56">
        <v>299.99</v>
      </c>
      <c r="T29" s="55">
        <v>329.99</v>
      </c>
      <c r="U29" s="55">
        <v>189.99</v>
      </c>
      <c r="V29" s="55">
        <v>129.99</v>
      </c>
      <c r="W29" s="56">
        <v>149.99</v>
      </c>
      <c r="X29" s="50">
        <v>239.99</v>
      </c>
      <c r="Y29" s="45">
        <v>309.99</v>
      </c>
      <c r="Z29" s="45">
        <v>279.99</v>
      </c>
      <c r="AA29" s="45">
        <v>369.99</v>
      </c>
      <c r="AB29" s="45">
        <v>289.99</v>
      </c>
      <c r="AC29" s="45">
        <v>159.99</v>
      </c>
      <c r="AD29" s="45">
        <v>219.99</v>
      </c>
      <c r="AE29" s="45">
        <v>179.99</v>
      </c>
      <c r="AF29" s="45">
        <v>269.99</v>
      </c>
      <c r="AG29" s="45">
        <v>179.99</v>
      </c>
      <c r="AH29" s="45">
        <v>299.99</v>
      </c>
      <c r="AI29" s="45" t="s">
        <v>17</v>
      </c>
      <c r="AJ29" s="48" t="s">
        <v>17</v>
      </c>
      <c r="AK29" s="45"/>
      <c r="AL29" s="45">
        <v>269.99</v>
      </c>
      <c r="AM29" s="45">
        <v>289.99</v>
      </c>
      <c r="AN29" s="45" t="s">
        <v>17</v>
      </c>
      <c r="AO29" s="45">
        <v>279.99</v>
      </c>
      <c r="AP29" s="45">
        <v>299.99</v>
      </c>
      <c r="AQ29" s="45">
        <v>229.99</v>
      </c>
      <c r="AR29" s="48" t="s">
        <v>150</v>
      </c>
      <c r="AS29" s="45"/>
      <c r="AT29" s="45" t="s">
        <v>151</v>
      </c>
      <c r="AU29" s="45">
        <v>369.99</v>
      </c>
      <c r="AV29" s="45">
        <v>359.99</v>
      </c>
      <c r="AW29" s="48" t="s">
        <v>152</v>
      </c>
    </row>
    <row r="30" spans="1:49" ht="19.2" customHeight="1">
      <c r="A30" s="57" t="s">
        <v>85</v>
      </c>
      <c r="B30" s="58">
        <v>184.99</v>
      </c>
      <c r="C30" s="59">
        <v>319.99</v>
      </c>
      <c r="D30" s="59">
        <v>139.99</v>
      </c>
      <c r="E30" s="59">
        <v>199.99</v>
      </c>
      <c r="F30" s="59"/>
      <c r="G30" s="59">
        <v>194.44</v>
      </c>
      <c r="H30" s="59">
        <v>129.99</v>
      </c>
      <c r="I30" s="59">
        <v>134.99</v>
      </c>
      <c r="J30" s="59">
        <v>249.99</v>
      </c>
      <c r="K30" s="59">
        <v>239.99</v>
      </c>
      <c r="L30" s="59">
        <v>339.99</v>
      </c>
      <c r="M30" s="59">
        <v>279.99</v>
      </c>
      <c r="N30" s="59">
        <v>329.99</v>
      </c>
      <c r="O30" s="59">
        <v>389.99</v>
      </c>
      <c r="P30" s="59">
        <v>139.99</v>
      </c>
      <c r="Q30" s="59">
        <v>0</v>
      </c>
      <c r="R30" s="59">
        <v>279.99</v>
      </c>
      <c r="S30" s="60">
        <v>299.99</v>
      </c>
      <c r="T30" s="59">
        <v>329.99</v>
      </c>
      <c r="U30" s="59">
        <v>189.99</v>
      </c>
      <c r="V30" s="59">
        <v>129.99</v>
      </c>
      <c r="W30" s="60">
        <v>149.99</v>
      </c>
      <c r="X30" s="61">
        <v>239.99</v>
      </c>
      <c r="Y30" s="59">
        <v>309.99</v>
      </c>
      <c r="Z30" s="59">
        <v>279.99</v>
      </c>
      <c r="AA30" s="59">
        <v>369.99</v>
      </c>
      <c r="AB30" s="59">
        <v>289.99</v>
      </c>
      <c r="AC30" s="59">
        <v>159.99</v>
      </c>
      <c r="AD30" s="59">
        <v>219.99</v>
      </c>
      <c r="AE30" s="59">
        <v>179.99</v>
      </c>
      <c r="AF30" s="59">
        <v>269.99</v>
      </c>
      <c r="AG30" s="59">
        <v>179.99</v>
      </c>
      <c r="AH30" s="59">
        <v>299.99</v>
      </c>
      <c r="AI30" s="59"/>
      <c r="AJ30" s="60"/>
      <c r="AK30" s="62">
        <f>AVERAGE(B30:AH30)</f>
        <v>232.94187499999987</v>
      </c>
      <c r="AL30" s="59">
        <v>269.99</v>
      </c>
      <c r="AM30" s="59">
        <v>289.99</v>
      </c>
      <c r="AN30" s="59"/>
      <c r="AO30" s="59">
        <v>279.99</v>
      </c>
      <c r="AP30" s="59">
        <v>299.99</v>
      </c>
      <c r="AQ30" s="59">
        <v>229.99</v>
      </c>
      <c r="AR30" s="60">
        <v>396</v>
      </c>
      <c r="AS30" s="62">
        <f>AVERAGE(AL30:AR30)</f>
        <v>294.32499999999999</v>
      </c>
      <c r="AT30" s="59">
        <v>276</v>
      </c>
      <c r="AU30" s="59">
        <v>369.99</v>
      </c>
      <c r="AV30" s="59">
        <v>359.99</v>
      </c>
      <c r="AW30" s="60">
        <v>259.95999999999998</v>
      </c>
    </row>
  </sheetData>
  <conditionalFormatting sqref="B10:R13">
    <cfRule type="cellIs" dxfId="14" priority="15" operator="equal">
      <formula>0</formula>
    </cfRule>
  </conditionalFormatting>
  <conditionalFormatting sqref="B25:W25">
    <cfRule type="cellIs" dxfId="13" priority="14" operator="equal">
      <formula>0</formula>
    </cfRule>
  </conditionalFormatting>
  <conditionalFormatting sqref="B26:W26">
    <cfRule type="cellIs" dxfId="12" priority="13" operator="equal">
      <formula>0</formula>
    </cfRule>
  </conditionalFormatting>
  <conditionalFormatting sqref="B17:X30 Y19:AW19">
    <cfRule type="containsText" dxfId="11" priority="12" operator="containsText" text="BLANK">
      <formula>NOT(ISERROR(SEARCH("BLANK",B17)))</formula>
    </cfRule>
  </conditionalFormatting>
  <conditionalFormatting sqref="AC23">
    <cfRule type="containsText" dxfId="10" priority="11" operator="containsText" text="BLANK">
      <formula>NOT(ISERROR(SEARCH("BLANK",AC23)))</formula>
    </cfRule>
  </conditionalFormatting>
  <conditionalFormatting sqref="AC25">
    <cfRule type="containsText" dxfId="9" priority="10" operator="containsText" text="BLANK">
      <formula>NOT(ISERROR(SEARCH("BLANK",AC25)))</formula>
    </cfRule>
  </conditionalFormatting>
  <conditionalFormatting sqref="AC28">
    <cfRule type="containsText" dxfId="8" priority="9" operator="containsText" text="BLANK">
      <formula>NOT(ISERROR(SEARCH("BLANK",AC28)))</formula>
    </cfRule>
  </conditionalFormatting>
  <conditionalFormatting sqref="AI29">
    <cfRule type="containsText" dxfId="7" priority="8" operator="containsText" text="BLANK">
      <formula>NOT(ISERROR(SEARCH("BLANK",AI29)))</formula>
    </cfRule>
  </conditionalFormatting>
  <conditionalFormatting sqref="AJ29:AK29">
    <cfRule type="containsText" dxfId="6" priority="7" operator="containsText" text="BLANK">
      <formula>NOT(ISERROR(SEARCH("BLANK",AJ29)))</formula>
    </cfRule>
  </conditionalFormatting>
  <conditionalFormatting sqref="AN29">
    <cfRule type="containsText" dxfId="5" priority="6" operator="containsText" text="BLANK">
      <formula>NOT(ISERROR(SEARCH("BLANK",AN29)))</formula>
    </cfRule>
  </conditionalFormatting>
  <conditionalFormatting sqref="AV28">
    <cfRule type="containsText" dxfId="4" priority="5" operator="containsText" text="BLANK">
      <formula>NOT(ISERROR(SEARCH("BLANK",AV28)))</formula>
    </cfRule>
  </conditionalFormatting>
  <conditionalFormatting sqref="AV25">
    <cfRule type="containsText" dxfId="3" priority="4" operator="containsText" text="BLANK">
      <formula>NOT(ISERROR(SEARCH("BLANK",AV25)))</formula>
    </cfRule>
  </conditionalFormatting>
  <conditionalFormatting sqref="AV23">
    <cfRule type="containsText" dxfId="2" priority="3" operator="containsText" text="BLANK">
      <formula>NOT(ISERROR(SEARCH("BLANK",AV23)))</formula>
    </cfRule>
  </conditionalFormatting>
  <conditionalFormatting sqref="B17:AW30">
    <cfRule type="containsText" dxfId="1" priority="2" operator="containsText" text="Unk">
      <formula>NOT(ISERROR(SEARCH("Unk",B17)))</formula>
    </cfRule>
  </conditionalFormatting>
  <conditionalFormatting sqref="B30:AW30">
    <cfRule type="containsBlanks" dxfId="0" priority="1">
      <formula>LEN(TRIM(B30))=0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</vt:lpstr>
      <vt:lpstr>Reference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Goodwin</dc:creator>
  <cp:lastModifiedBy>bae</cp:lastModifiedBy>
  <dcterms:created xsi:type="dcterms:W3CDTF">2016-08-20T19:41:11Z</dcterms:created>
  <dcterms:modified xsi:type="dcterms:W3CDTF">2020-04-24T05:24:30Z</dcterms:modified>
</cp:coreProperties>
</file>